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DrDave/Desktop/DGustafson-Files/CTIC/OpTIS/"/>
    </mc:Choice>
  </mc:AlternateContent>
  <xr:revisionPtr revIDLastSave="0" documentId="8_{B238F4F6-F8B0-BD4D-B18E-C96797A57D9C}" xr6:coauthVersionLast="36" xr6:coauthVersionMax="36" xr10:uidLastSave="{00000000-0000-0000-0000-000000000000}"/>
  <bookViews>
    <workbookView xWindow="0" yWindow="500" windowWidth="28800" windowHeight="16420" xr2:uid="{00000000-000D-0000-FFFF-FFFF00000000}"/>
  </bookViews>
  <sheets>
    <sheet name="readme" sheetId="1" r:id="rId1"/>
    <sheet name="Inventory" sheetId="2" r:id="rId2"/>
    <sheet name="carbon intensity" sheetId="3" r:id="rId3"/>
    <sheet name="Beef Enteric inventory" sheetId="4" r:id="rId4"/>
    <sheet name="Beef Manure Inventory" sheetId="5" r:id="rId5"/>
    <sheet name="Dairy Enteric Inventory" sheetId="6" r:id="rId6"/>
    <sheet name="Dairy Manure Inventory" sheetId="7" r:id="rId7"/>
    <sheet name="Beef Animal Numbers" sheetId="8" r:id="rId8"/>
    <sheet name="Dairy Animal Numbers, Mass, Mil" sheetId="9" r:id="rId9"/>
    <sheet name="Beef diets" sheetId="10" r:id="rId10"/>
    <sheet name="Beef State Manure Mgmt" sheetId="11" r:id="rId11"/>
    <sheet name="Dairy State Manure Mgmt" sheetId="12" r:id="rId12"/>
    <sheet name="iFeeder TMR rations" sheetId="13" r:id="rId13"/>
    <sheet name="avg ann temp, manure EFs" sheetId="14" r:id="rId14"/>
    <sheet name="volatile solids and nex" sheetId="15" r:id="rId15"/>
    <sheet name="LitReferencesInventory" sheetId="16" state="hidden" r:id="rId16"/>
  </sheets>
  <calcPr calcId="181029"/>
  <extLst>
    <ext uri="GoogleSheetsCustomDataVersion2">
      <go:sheetsCustomData xmlns:go="http://customooxmlschemas.google.com/" r:id="rId20" roundtripDataChecksum="qqW07VVqlbJIB4wIXwAjleJ9NiDc9p70rU0FxlxJWS8="/>
    </ext>
  </extLst>
</workbook>
</file>

<file path=xl/calcChain.xml><?xml version="1.0" encoding="utf-8"?>
<calcChain xmlns="http://schemas.openxmlformats.org/spreadsheetml/2006/main">
  <c r="N58" i="15" l="1"/>
  <c r="M58" i="15"/>
  <c r="L58" i="15"/>
  <c r="K58" i="15"/>
  <c r="J58" i="15"/>
  <c r="I58" i="15"/>
  <c r="J52" i="12"/>
  <c r="J51" i="12"/>
  <c r="J50" i="12"/>
  <c r="J49" i="12"/>
  <c r="J48"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J10" i="12"/>
  <c r="J9" i="12"/>
  <c r="J8" i="12"/>
  <c r="J7" i="12"/>
  <c r="J6" i="12"/>
  <c r="J5" i="12"/>
  <c r="J4" i="12"/>
  <c r="J3" i="12"/>
  <c r="J52" i="11"/>
  <c r="J51" i="11"/>
  <c r="J50" i="11"/>
  <c r="J49" i="11"/>
  <c r="J48" i="11"/>
  <c r="J47" i="11"/>
  <c r="J46" i="11"/>
  <c r="J45" i="11"/>
  <c r="J44" i="11"/>
  <c r="J43" i="11"/>
  <c r="J42" i="11"/>
  <c r="J41" i="11"/>
  <c r="J40" i="11"/>
  <c r="J39" i="11"/>
  <c r="J38" i="11"/>
  <c r="J37" i="11"/>
  <c r="J36" i="11"/>
  <c r="J35" i="11"/>
  <c r="J34" i="11"/>
  <c r="J33" i="11"/>
  <c r="J32" i="11"/>
  <c r="J31" i="11"/>
  <c r="J30" i="11"/>
  <c r="J29" i="11"/>
  <c r="J28" i="11"/>
  <c r="J27" i="11"/>
  <c r="J26" i="11"/>
  <c r="J25" i="11"/>
  <c r="J24" i="11"/>
  <c r="J23" i="11"/>
  <c r="J22" i="11"/>
  <c r="J21" i="11"/>
  <c r="J20" i="11"/>
  <c r="J19" i="11"/>
  <c r="J18" i="11"/>
  <c r="J17" i="11"/>
  <c r="J16" i="11"/>
  <c r="J15" i="11"/>
  <c r="J14" i="11"/>
  <c r="J13" i="11"/>
  <c r="J12" i="11"/>
  <c r="J11" i="11"/>
  <c r="J10" i="11"/>
  <c r="J9" i="11"/>
  <c r="J8" i="11"/>
  <c r="J7" i="11"/>
  <c r="J6" i="11"/>
  <c r="J5" i="11"/>
  <c r="J4" i="11"/>
  <c r="J3" i="11"/>
  <c r="K51" i="9"/>
  <c r="I51" i="9"/>
  <c r="G51" i="9"/>
  <c r="K50" i="9"/>
  <c r="I50" i="9"/>
  <c r="G50" i="9"/>
  <c r="K49" i="9"/>
  <c r="I49" i="9"/>
  <c r="G49" i="9"/>
  <c r="K48" i="9"/>
  <c r="I48" i="9"/>
  <c r="G48" i="9"/>
  <c r="K47" i="9"/>
  <c r="I47" i="9"/>
  <c r="G47" i="9"/>
  <c r="K46" i="9"/>
  <c r="I46" i="9"/>
  <c r="G46" i="9"/>
  <c r="K45" i="9"/>
  <c r="I45" i="9"/>
  <c r="G45" i="9"/>
  <c r="K44" i="9"/>
  <c r="I44" i="9"/>
  <c r="G44" i="9"/>
  <c r="K43" i="9"/>
  <c r="I43" i="9"/>
  <c r="G43" i="9"/>
  <c r="K42" i="9"/>
  <c r="I42" i="9"/>
  <c r="G42" i="9"/>
  <c r="K41" i="9"/>
  <c r="I41" i="9"/>
  <c r="G41" i="9"/>
  <c r="K40" i="9"/>
  <c r="I40" i="9"/>
  <c r="G40" i="9"/>
  <c r="K39" i="9"/>
  <c r="I39" i="9"/>
  <c r="G39" i="9"/>
  <c r="K38" i="9"/>
  <c r="I38" i="9"/>
  <c r="G38" i="9"/>
  <c r="K37" i="9"/>
  <c r="I37" i="9"/>
  <c r="G37" i="9"/>
  <c r="K36" i="9"/>
  <c r="I36" i="9"/>
  <c r="G36" i="9"/>
  <c r="K35" i="9"/>
  <c r="I35" i="9"/>
  <c r="G35" i="9"/>
  <c r="K34" i="9"/>
  <c r="I34" i="9"/>
  <c r="G34" i="9"/>
  <c r="K33" i="9"/>
  <c r="I33" i="9"/>
  <c r="G33" i="9"/>
  <c r="K32" i="9"/>
  <c r="I32" i="9"/>
  <c r="G32" i="9"/>
  <c r="K31" i="9"/>
  <c r="I31" i="9"/>
  <c r="G31" i="9"/>
  <c r="K30" i="9"/>
  <c r="I30" i="9"/>
  <c r="G30" i="9"/>
  <c r="K29" i="9"/>
  <c r="I29" i="9"/>
  <c r="G29" i="9"/>
  <c r="K28" i="9"/>
  <c r="I28" i="9"/>
  <c r="G28" i="9"/>
  <c r="K27" i="9"/>
  <c r="I27" i="9"/>
  <c r="G27" i="9"/>
  <c r="K26" i="9"/>
  <c r="I26" i="9"/>
  <c r="G26" i="9"/>
  <c r="K25" i="9"/>
  <c r="I25" i="9"/>
  <c r="G25" i="9"/>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K4" i="9"/>
  <c r="I4" i="9"/>
  <c r="G4" i="9"/>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AD51" i="7"/>
  <c r="AA51" i="7"/>
  <c r="Z51" i="7"/>
  <c r="AF51" i="7" s="1"/>
  <c r="AE51" i="7" s="1"/>
  <c r="X51" i="7"/>
  <c r="AL51" i="7" s="1"/>
  <c r="W51" i="7"/>
  <c r="AH51" i="7" s="1"/>
  <c r="AN51" i="7" s="1"/>
  <c r="V51" i="7"/>
  <c r="AG51" i="7" s="1"/>
  <c r="R51" i="7"/>
  <c r="P51" i="7"/>
  <c r="O51" i="7"/>
  <c r="N51" i="7"/>
  <c r="T51" i="7" s="1"/>
  <c r="S51" i="7" s="1"/>
  <c r="M51" i="7"/>
  <c r="L51" i="7"/>
  <c r="K51" i="7"/>
  <c r="J51" i="7"/>
  <c r="H51" i="7"/>
  <c r="AK51" i="7" s="1"/>
  <c r="G51" i="7"/>
  <c r="U51" i="7" s="1"/>
  <c r="AM51" i="7" s="1"/>
  <c r="F51" i="7"/>
  <c r="E51" i="7"/>
  <c r="D51" i="7"/>
  <c r="C51" i="7"/>
  <c r="AD50" i="7"/>
  <c r="AF50" i="7" s="1"/>
  <c r="AE50" i="7" s="1"/>
  <c r="AA50" i="7"/>
  <c r="Z50" i="7"/>
  <c r="X50" i="7"/>
  <c r="W50" i="7"/>
  <c r="AH50" i="7" s="1"/>
  <c r="AN50" i="7" s="1"/>
  <c r="V50" i="7"/>
  <c r="AG50" i="7" s="1"/>
  <c r="R50" i="7"/>
  <c r="P50" i="7"/>
  <c r="O50" i="7"/>
  <c r="AI50" i="7" s="1"/>
  <c r="N50" i="7"/>
  <c r="M50" i="7"/>
  <c r="L50" i="7"/>
  <c r="K50" i="7"/>
  <c r="J50" i="7"/>
  <c r="H50" i="7"/>
  <c r="G50" i="7"/>
  <c r="F50" i="7"/>
  <c r="E50" i="7"/>
  <c r="D50" i="7"/>
  <c r="C50" i="7"/>
  <c r="AD49" i="7"/>
  <c r="AL49" i="7" s="1"/>
  <c r="AA49" i="7"/>
  <c r="Z49" i="7"/>
  <c r="AF49" i="7" s="1"/>
  <c r="AE49" i="7" s="1"/>
  <c r="X49" i="7"/>
  <c r="W49" i="7"/>
  <c r="V49" i="7"/>
  <c r="T49" i="7"/>
  <c r="S49" i="7" s="1"/>
  <c r="R49" i="7"/>
  <c r="P49" i="7"/>
  <c r="O49" i="7"/>
  <c r="N49" i="7"/>
  <c r="M49" i="7"/>
  <c r="L49" i="7"/>
  <c r="K49" i="7"/>
  <c r="J49" i="7"/>
  <c r="H49" i="7"/>
  <c r="AK49" i="7" s="1"/>
  <c r="G49" i="7"/>
  <c r="F49" i="7"/>
  <c r="E49" i="7"/>
  <c r="D49" i="7"/>
  <c r="C49" i="7"/>
  <c r="AI48" i="7"/>
  <c r="AD48" i="7"/>
  <c r="AF48" i="7" s="1"/>
  <c r="AE48" i="7" s="1"/>
  <c r="AA48" i="7"/>
  <c r="Z48" i="7"/>
  <c r="X48" i="7"/>
  <c r="W48" i="7"/>
  <c r="V48" i="7"/>
  <c r="R48" i="7"/>
  <c r="P48" i="7"/>
  <c r="O48" i="7"/>
  <c r="N48" i="7"/>
  <c r="M48" i="7"/>
  <c r="L48" i="7"/>
  <c r="K48" i="7"/>
  <c r="J48" i="7"/>
  <c r="U48" i="7" s="1"/>
  <c r="AM48" i="7" s="1"/>
  <c r="H48" i="7"/>
  <c r="AK48" i="7" s="1"/>
  <c r="G48" i="7"/>
  <c r="F48" i="7"/>
  <c r="E48" i="7"/>
  <c r="D48" i="7"/>
  <c r="C48" i="7"/>
  <c r="AL47" i="7"/>
  <c r="AD47" i="7"/>
  <c r="AA47" i="7"/>
  <c r="Z47" i="7"/>
  <c r="X47" i="7"/>
  <c r="W47" i="7"/>
  <c r="AH47" i="7" s="1"/>
  <c r="V47" i="7"/>
  <c r="R47" i="7"/>
  <c r="P47" i="7"/>
  <c r="O47" i="7"/>
  <c r="N47" i="7"/>
  <c r="T47" i="7" s="1"/>
  <c r="S47" i="7" s="1"/>
  <c r="M47" i="7"/>
  <c r="L47" i="7"/>
  <c r="K47" i="7"/>
  <c r="J47" i="7"/>
  <c r="H47" i="7"/>
  <c r="G47" i="7"/>
  <c r="F47" i="7"/>
  <c r="E47" i="7"/>
  <c r="D47" i="7"/>
  <c r="C47" i="7"/>
  <c r="AF46" i="7"/>
  <c r="AE46" i="7" s="1"/>
  <c r="AD46" i="7"/>
  <c r="AA46" i="7"/>
  <c r="Z46" i="7"/>
  <c r="X46" i="7"/>
  <c r="W46" i="7"/>
  <c r="V46" i="7"/>
  <c r="R46" i="7"/>
  <c r="P46" i="7"/>
  <c r="O46" i="7"/>
  <c r="N46" i="7"/>
  <c r="M46" i="7"/>
  <c r="L46" i="7"/>
  <c r="K46" i="7"/>
  <c r="J46" i="7"/>
  <c r="AH46" i="7" s="1"/>
  <c r="H46" i="7"/>
  <c r="G46" i="7"/>
  <c r="F46" i="7"/>
  <c r="E46" i="7"/>
  <c r="D46" i="7"/>
  <c r="C46" i="7"/>
  <c r="AD45" i="7"/>
  <c r="AA45" i="7"/>
  <c r="Z45" i="7"/>
  <c r="X45" i="7"/>
  <c r="W45" i="7"/>
  <c r="V45" i="7"/>
  <c r="R45" i="7"/>
  <c r="P45" i="7"/>
  <c r="O45" i="7"/>
  <c r="N45" i="7"/>
  <c r="T45" i="7" s="1"/>
  <c r="S45" i="7" s="1"/>
  <c r="M45" i="7"/>
  <c r="L45" i="7"/>
  <c r="K45" i="7"/>
  <c r="J45" i="7"/>
  <c r="H45" i="7"/>
  <c r="G45" i="7"/>
  <c r="F45" i="7"/>
  <c r="E45" i="7"/>
  <c r="D45" i="7"/>
  <c r="AG44" i="7"/>
  <c r="AE44" i="7"/>
  <c r="AD44" i="7"/>
  <c r="AA44" i="7"/>
  <c r="AF44" i="7" s="1"/>
  <c r="Z44" i="7"/>
  <c r="X44" i="7"/>
  <c r="W44" i="7"/>
  <c r="AH44" i="7" s="1"/>
  <c r="AN44" i="7" s="1"/>
  <c r="V44" i="7"/>
  <c r="R44" i="7"/>
  <c r="T44" i="7" s="1"/>
  <c r="S44" i="7" s="1"/>
  <c r="P44" i="7"/>
  <c r="O44" i="7"/>
  <c r="N44" i="7"/>
  <c r="M44" i="7"/>
  <c r="L44" i="7"/>
  <c r="K44" i="7"/>
  <c r="J44" i="7"/>
  <c r="H44" i="7"/>
  <c r="G44" i="7"/>
  <c r="F44" i="7"/>
  <c r="E44" i="7"/>
  <c r="D44" i="7"/>
  <c r="C44" i="7"/>
  <c r="AI43" i="7"/>
  <c r="AD43" i="7"/>
  <c r="AA43" i="7"/>
  <c r="Z43" i="7"/>
  <c r="X43" i="7"/>
  <c r="W43" i="7"/>
  <c r="V43" i="7"/>
  <c r="R43" i="7"/>
  <c r="P43" i="7"/>
  <c r="O43" i="7"/>
  <c r="N43" i="7"/>
  <c r="M43" i="7"/>
  <c r="L43" i="7"/>
  <c r="K43" i="7"/>
  <c r="J43" i="7"/>
  <c r="H43" i="7"/>
  <c r="AK43" i="7" s="1"/>
  <c r="AO43" i="7" s="1"/>
  <c r="G43" i="7"/>
  <c r="F43" i="7"/>
  <c r="E43" i="7"/>
  <c r="D43" i="7"/>
  <c r="C43" i="7"/>
  <c r="AD42" i="7"/>
  <c r="AA42" i="7"/>
  <c r="Z42" i="7"/>
  <c r="AJ42" i="7" s="1"/>
  <c r="X42" i="7"/>
  <c r="W42" i="7"/>
  <c r="AH42" i="7" s="1"/>
  <c r="V42" i="7"/>
  <c r="AG42" i="7" s="1"/>
  <c r="R42" i="7"/>
  <c r="P42" i="7"/>
  <c r="O42" i="7"/>
  <c r="N42" i="7"/>
  <c r="M42" i="7"/>
  <c r="L42" i="7"/>
  <c r="K42" i="7"/>
  <c r="J42" i="7"/>
  <c r="H42" i="7"/>
  <c r="AI42" i="7" s="1"/>
  <c r="G42" i="7"/>
  <c r="F42" i="7"/>
  <c r="E42" i="7"/>
  <c r="D42" i="7"/>
  <c r="AJ41" i="7"/>
  <c r="AH41" i="7"/>
  <c r="AN41" i="7" s="1"/>
  <c r="AD41" i="7"/>
  <c r="AA41" i="7"/>
  <c r="Z41" i="7"/>
  <c r="AF41" i="7" s="1"/>
  <c r="AE41" i="7" s="1"/>
  <c r="X41" i="7"/>
  <c r="W41" i="7"/>
  <c r="V41" i="7"/>
  <c r="AG41" i="7" s="1"/>
  <c r="U41" i="7"/>
  <c r="AM41" i="7" s="1"/>
  <c r="R41" i="7"/>
  <c r="P41" i="7"/>
  <c r="O41" i="7"/>
  <c r="N41" i="7"/>
  <c r="T41" i="7" s="1"/>
  <c r="S41" i="7" s="1"/>
  <c r="M41" i="7"/>
  <c r="L41" i="7"/>
  <c r="K41" i="7"/>
  <c r="J41" i="7"/>
  <c r="H41" i="7"/>
  <c r="AK41" i="7" s="1"/>
  <c r="G41" i="7"/>
  <c r="F41" i="7"/>
  <c r="E41" i="7"/>
  <c r="D41" i="7"/>
  <c r="AE40" i="7"/>
  <c r="AD40" i="7"/>
  <c r="AA40" i="7"/>
  <c r="AF40" i="7" s="1"/>
  <c r="Z40" i="7"/>
  <c r="X40" i="7"/>
  <c r="W40" i="7"/>
  <c r="V40" i="7"/>
  <c r="AG40" i="7" s="1"/>
  <c r="R40" i="7"/>
  <c r="P40" i="7"/>
  <c r="O40" i="7"/>
  <c r="N40" i="7"/>
  <c r="M40" i="7"/>
  <c r="L40" i="7"/>
  <c r="K40" i="7"/>
  <c r="J40" i="7"/>
  <c r="H40" i="7"/>
  <c r="G40" i="7"/>
  <c r="F40" i="7"/>
  <c r="E40" i="7"/>
  <c r="D40" i="7"/>
  <c r="C40" i="7"/>
  <c r="AI39" i="7"/>
  <c r="AG39" i="7"/>
  <c r="AD39" i="7"/>
  <c r="AA39" i="7"/>
  <c r="Z39" i="7"/>
  <c r="AF39" i="7" s="1"/>
  <c r="AE39" i="7" s="1"/>
  <c r="X39" i="7"/>
  <c r="AJ39" i="7" s="1"/>
  <c r="W39" i="7"/>
  <c r="V39" i="7"/>
  <c r="T39" i="7"/>
  <c r="S39" i="7" s="1"/>
  <c r="R39" i="7"/>
  <c r="P39" i="7"/>
  <c r="O39" i="7"/>
  <c r="N39" i="7"/>
  <c r="M39" i="7"/>
  <c r="L39" i="7"/>
  <c r="K39" i="7"/>
  <c r="J39" i="7"/>
  <c r="H39" i="7"/>
  <c r="G39" i="7"/>
  <c r="F39" i="7"/>
  <c r="E39" i="7"/>
  <c r="D39" i="7"/>
  <c r="C39" i="7"/>
  <c r="AK38" i="7"/>
  <c r="AF38" i="7"/>
  <c r="AE38" i="7" s="1"/>
  <c r="AD38" i="7"/>
  <c r="AA38" i="7"/>
  <c r="Z38" i="7"/>
  <c r="X38" i="7"/>
  <c r="W38" i="7"/>
  <c r="AH38" i="7" s="1"/>
  <c r="V38" i="7"/>
  <c r="U38" i="7"/>
  <c r="AM38" i="7" s="1"/>
  <c r="R38" i="7"/>
  <c r="P38" i="7"/>
  <c r="O38" i="7"/>
  <c r="T38" i="7" s="1"/>
  <c r="S38" i="7" s="1"/>
  <c r="N38" i="7"/>
  <c r="M38" i="7"/>
  <c r="L38" i="7"/>
  <c r="K38" i="7"/>
  <c r="J38" i="7"/>
  <c r="H38" i="7"/>
  <c r="AI38" i="7" s="1"/>
  <c r="AO38" i="7" s="1"/>
  <c r="G38" i="7"/>
  <c r="F38" i="7"/>
  <c r="E38" i="7"/>
  <c r="D38" i="7"/>
  <c r="C38" i="7"/>
  <c r="AJ37" i="7"/>
  <c r="AI37" i="7"/>
  <c r="AE37" i="7"/>
  <c r="AD37" i="7"/>
  <c r="AA37" i="7"/>
  <c r="Z37" i="7"/>
  <c r="AF37" i="7" s="1"/>
  <c r="X37" i="7"/>
  <c r="W37" i="7"/>
  <c r="V37" i="7"/>
  <c r="AG37" i="7" s="1"/>
  <c r="R37" i="7"/>
  <c r="P37" i="7"/>
  <c r="O37" i="7"/>
  <c r="T37" i="7" s="1"/>
  <c r="S37" i="7" s="1"/>
  <c r="N37" i="7"/>
  <c r="M37" i="7"/>
  <c r="L37" i="7"/>
  <c r="K37" i="7"/>
  <c r="J37" i="7"/>
  <c r="H37" i="7"/>
  <c r="AK37" i="7" s="1"/>
  <c r="G37" i="7"/>
  <c r="F37" i="7"/>
  <c r="E37" i="7"/>
  <c r="D37" i="7"/>
  <c r="C37" i="7"/>
  <c r="AD36" i="7"/>
  <c r="AA36" i="7"/>
  <c r="AF36" i="7" s="1"/>
  <c r="AE36" i="7" s="1"/>
  <c r="Z36" i="7"/>
  <c r="X36" i="7"/>
  <c r="W36" i="7"/>
  <c r="V36" i="7"/>
  <c r="AG36" i="7" s="1"/>
  <c r="R36" i="7"/>
  <c r="T36" i="7" s="1"/>
  <c r="S36" i="7" s="1"/>
  <c r="P36" i="7"/>
  <c r="O36" i="7"/>
  <c r="N36" i="7"/>
  <c r="M36" i="7"/>
  <c r="L36" i="7"/>
  <c r="K36" i="7"/>
  <c r="J36" i="7"/>
  <c r="H36" i="7"/>
  <c r="AK36" i="7" s="1"/>
  <c r="G36" i="7"/>
  <c r="F36" i="7"/>
  <c r="E36" i="7"/>
  <c r="D36" i="7"/>
  <c r="C36" i="7"/>
  <c r="AJ35" i="7"/>
  <c r="AP35" i="7" s="1"/>
  <c r="AG35" i="7"/>
  <c r="AD35" i="7"/>
  <c r="AA35" i="7"/>
  <c r="Z35" i="7"/>
  <c r="AF35" i="7" s="1"/>
  <c r="AE35" i="7" s="1"/>
  <c r="X35" i="7"/>
  <c r="AL35" i="7" s="1"/>
  <c r="W35" i="7"/>
  <c r="AH35" i="7" s="1"/>
  <c r="V35" i="7"/>
  <c r="R35" i="7"/>
  <c r="P35" i="7"/>
  <c r="T35" i="7" s="1"/>
  <c r="S35" i="7" s="1"/>
  <c r="O35" i="7"/>
  <c r="N35" i="7"/>
  <c r="M35" i="7"/>
  <c r="L35" i="7"/>
  <c r="K35" i="7"/>
  <c r="J35" i="7"/>
  <c r="H35" i="7"/>
  <c r="G35" i="7"/>
  <c r="U35" i="7" s="1"/>
  <c r="AM35" i="7" s="1"/>
  <c r="F35" i="7"/>
  <c r="E35" i="7"/>
  <c r="D35" i="7"/>
  <c r="C35" i="7"/>
  <c r="AN34" i="7"/>
  <c r="AF34" i="7"/>
  <c r="AE34" i="7"/>
  <c r="AD34" i="7"/>
  <c r="AA34" i="7"/>
  <c r="Z34" i="7"/>
  <c r="X34" i="7"/>
  <c r="W34" i="7"/>
  <c r="AH34" i="7" s="1"/>
  <c r="V34" i="7"/>
  <c r="AG34" i="7" s="1"/>
  <c r="R34" i="7"/>
  <c r="T34" i="7" s="1"/>
  <c r="S34" i="7" s="1"/>
  <c r="P34" i="7"/>
  <c r="O34" i="7"/>
  <c r="N34" i="7"/>
  <c r="M34" i="7"/>
  <c r="L34" i="7"/>
  <c r="K34" i="7"/>
  <c r="J34" i="7"/>
  <c r="H34" i="7"/>
  <c r="G34" i="7"/>
  <c r="F34" i="7"/>
  <c r="E34" i="7"/>
  <c r="D34" i="7"/>
  <c r="C34" i="7"/>
  <c r="AI33" i="7"/>
  <c r="AE33" i="7"/>
  <c r="AD33" i="7"/>
  <c r="AA33" i="7"/>
  <c r="Z33" i="7"/>
  <c r="AF33" i="7" s="1"/>
  <c r="X33" i="7"/>
  <c r="W33" i="7"/>
  <c r="V33" i="7"/>
  <c r="AG33" i="7" s="1"/>
  <c r="R33" i="7"/>
  <c r="P33" i="7"/>
  <c r="O33" i="7"/>
  <c r="T33" i="7" s="1"/>
  <c r="S33" i="7" s="1"/>
  <c r="N33" i="7"/>
  <c r="M33" i="7"/>
  <c r="L33" i="7"/>
  <c r="K33" i="7"/>
  <c r="J33" i="7"/>
  <c r="H33" i="7"/>
  <c r="AK33" i="7" s="1"/>
  <c r="G33" i="7"/>
  <c r="F33" i="7"/>
  <c r="E33" i="7"/>
  <c r="D33" i="7"/>
  <c r="C33" i="7"/>
  <c r="AK32" i="7"/>
  <c r="AI32" i="7"/>
  <c r="AD32" i="7"/>
  <c r="AA32" i="7"/>
  <c r="AF32" i="7" s="1"/>
  <c r="AE32" i="7" s="1"/>
  <c r="Z32" i="7"/>
  <c r="X32" i="7"/>
  <c r="W32" i="7"/>
  <c r="V32" i="7"/>
  <c r="T32" i="7"/>
  <c r="S32" i="7" s="1"/>
  <c r="R32" i="7"/>
  <c r="P32" i="7"/>
  <c r="O32" i="7"/>
  <c r="N32" i="7"/>
  <c r="M32" i="7"/>
  <c r="L32" i="7"/>
  <c r="K32" i="7"/>
  <c r="U32" i="7" s="1"/>
  <c r="AM32" i="7" s="1"/>
  <c r="J32" i="7"/>
  <c r="H32" i="7"/>
  <c r="G32" i="7"/>
  <c r="F32" i="7"/>
  <c r="E32" i="7"/>
  <c r="D32" i="7"/>
  <c r="C32" i="7"/>
  <c r="AD31" i="7"/>
  <c r="AA31" i="7"/>
  <c r="Z31" i="7"/>
  <c r="X31" i="7"/>
  <c r="W31" i="7"/>
  <c r="V31" i="7"/>
  <c r="R31" i="7"/>
  <c r="P31" i="7"/>
  <c r="O31" i="7"/>
  <c r="N31" i="7"/>
  <c r="M31" i="7"/>
  <c r="L31" i="7"/>
  <c r="K31" i="7"/>
  <c r="J31" i="7"/>
  <c r="H31" i="7"/>
  <c r="G31" i="7"/>
  <c r="F31" i="7"/>
  <c r="E31" i="7"/>
  <c r="D31" i="7"/>
  <c r="C31" i="7"/>
  <c r="AF30" i="7"/>
  <c r="AE30" i="7" s="1"/>
  <c r="AD30" i="7"/>
  <c r="AA30" i="7"/>
  <c r="Z30" i="7"/>
  <c r="X30" i="7"/>
  <c r="W30" i="7"/>
  <c r="V30" i="7"/>
  <c r="R30" i="7"/>
  <c r="P30" i="7"/>
  <c r="O30" i="7"/>
  <c r="N30" i="7"/>
  <c r="M30" i="7"/>
  <c r="L30" i="7"/>
  <c r="K30" i="7"/>
  <c r="J30" i="7"/>
  <c r="H30" i="7"/>
  <c r="G30" i="7"/>
  <c r="F30" i="7"/>
  <c r="E30" i="7"/>
  <c r="D30" i="7"/>
  <c r="C30" i="7"/>
  <c r="AE29" i="7"/>
  <c r="AD29" i="7"/>
  <c r="AA29" i="7"/>
  <c r="Z29" i="7"/>
  <c r="AF29" i="7" s="1"/>
  <c r="X29" i="7"/>
  <c r="W29" i="7"/>
  <c r="V29" i="7"/>
  <c r="R29" i="7"/>
  <c r="P29" i="7"/>
  <c r="O29" i="7"/>
  <c r="T29" i="7" s="1"/>
  <c r="S29" i="7" s="1"/>
  <c r="N29" i="7"/>
  <c r="M29" i="7"/>
  <c r="L29" i="7"/>
  <c r="K29" i="7"/>
  <c r="J29" i="7"/>
  <c r="H29" i="7"/>
  <c r="G29" i="7"/>
  <c r="F29" i="7"/>
  <c r="E29" i="7"/>
  <c r="D29" i="7"/>
  <c r="C29" i="7"/>
  <c r="AK28" i="7"/>
  <c r="AI28" i="7"/>
  <c r="AO28" i="7" s="1"/>
  <c r="AD28" i="7"/>
  <c r="AA28" i="7"/>
  <c r="AF28" i="7" s="1"/>
  <c r="AE28" i="7" s="1"/>
  <c r="Z28" i="7"/>
  <c r="X28" i="7"/>
  <c r="W28" i="7"/>
  <c r="V28" i="7"/>
  <c r="T28" i="7"/>
  <c r="S28" i="7" s="1"/>
  <c r="R28" i="7"/>
  <c r="P28" i="7"/>
  <c r="O28" i="7"/>
  <c r="N28" i="7"/>
  <c r="M28" i="7"/>
  <c r="L28" i="7"/>
  <c r="K28" i="7"/>
  <c r="J28" i="7"/>
  <c r="H28" i="7"/>
  <c r="G28" i="7"/>
  <c r="F28" i="7"/>
  <c r="E28" i="7"/>
  <c r="D28" i="7"/>
  <c r="C28" i="7"/>
  <c r="AD27" i="7"/>
  <c r="AA27" i="7"/>
  <c r="Z27" i="7"/>
  <c r="AF27" i="7" s="1"/>
  <c r="AE27" i="7" s="1"/>
  <c r="X27" i="7"/>
  <c r="W27" i="7"/>
  <c r="V27" i="7"/>
  <c r="R27" i="7"/>
  <c r="P27" i="7"/>
  <c r="O27" i="7"/>
  <c r="N27" i="7"/>
  <c r="M27" i="7"/>
  <c r="L27" i="7"/>
  <c r="K27" i="7"/>
  <c r="J27" i="7"/>
  <c r="H27" i="7"/>
  <c r="AK27" i="7" s="1"/>
  <c r="G27" i="7"/>
  <c r="U27" i="7" s="1"/>
  <c r="AM27" i="7" s="1"/>
  <c r="F27" i="7"/>
  <c r="E27" i="7"/>
  <c r="D27" i="7"/>
  <c r="C27" i="7"/>
  <c r="AF26" i="7"/>
  <c r="AE26" i="7" s="1"/>
  <c r="AD26" i="7"/>
  <c r="AA26" i="7"/>
  <c r="Z26" i="7"/>
  <c r="X26" i="7"/>
  <c r="W26" i="7"/>
  <c r="V26" i="7"/>
  <c r="R26" i="7"/>
  <c r="P26" i="7"/>
  <c r="O26" i="7"/>
  <c r="N26" i="7"/>
  <c r="M26" i="7"/>
  <c r="L26" i="7"/>
  <c r="K26" i="7"/>
  <c r="U26" i="7" s="1"/>
  <c r="AM26" i="7" s="1"/>
  <c r="J26" i="7"/>
  <c r="H26" i="7"/>
  <c r="G26" i="7"/>
  <c r="F26" i="7"/>
  <c r="E26" i="7"/>
  <c r="D26" i="7"/>
  <c r="C26" i="7"/>
  <c r="AG25" i="7"/>
  <c r="AE25" i="7"/>
  <c r="AD25" i="7"/>
  <c r="AA25" i="7"/>
  <c r="Z25" i="7"/>
  <c r="AF25" i="7" s="1"/>
  <c r="X25" i="7"/>
  <c r="W25" i="7"/>
  <c r="AH25" i="7" s="1"/>
  <c r="V25" i="7"/>
  <c r="T25" i="7"/>
  <c r="S25" i="7" s="1"/>
  <c r="R25" i="7"/>
  <c r="P25" i="7"/>
  <c r="O25" i="7"/>
  <c r="AI25" i="7" s="1"/>
  <c r="N25" i="7"/>
  <c r="M25" i="7"/>
  <c r="L25" i="7"/>
  <c r="K25" i="7"/>
  <c r="J25" i="7"/>
  <c r="H25" i="7"/>
  <c r="G25" i="7"/>
  <c r="F25" i="7"/>
  <c r="E25" i="7"/>
  <c r="D25" i="7"/>
  <c r="C25" i="7"/>
  <c r="AE24" i="7"/>
  <c r="AD24" i="7"/>
  <c r="AA24" i="7"/>
  <c r="AF24" i="7" s="1"/>
  <c r="Z24" i="7"/>
  <c r="X24" i="7"/>
  <c r="W24" i="7"/>
  <c r="V24" i="7"/>
  <c r="AG24" i="7" s="1"/>
  <c r="R24" i="7"/>
  <c r="P24" i="7"/>
  <c r="O24" i="7"/>
  <c r="N24" i="7"/>
  <c r="M24" i="7"/>
  <c r="L24" i="7"/>
  <c r="K24" i="7"/>
  <c r="J24" i="7"/>
  <c r="H24" i="7"/>
  <c r="AK24" i="7" s="1"/>
  <c r="G24" i="7"/>
  <c r="F24" i="7"/>
  <c r="E24" i="7"/>
  <c r="D24" i="7"/>
  <c r="C24" i="7"/>
  <c r="AD23" i="7"/>
  <c r="AA23" i="7"/>
  <c r="Z23" i="7"/>
  <c r="AF23" i="7" s="1"/>
  <c r="AE23" i="7" s="1"/>
  <c r="X23" i="7"/>
  <c r="AJ23" i="7" s="1"/>
  <c r="W23" i="7"/>
  <c r="V23" i="7"/>
  <c r="R23" i="7"/>
  <c r="P23" i="7"/>
  <c r="O23" i="7"/>
  <c r="N23" i="7"/>
  <c r="M23" i="7"/>
  <c r="L23" i="7"/>
  <c r="K23" i="7"/>
  <c r="AG23" i="7" s="1"/>
  <c r="J23" i="7"/>
  <c r="H23" i="7"/>
  <c r="G23" i="7"/>
  <c r="F23" i="7"/>
  <c r="E23" i="7"/>
  <c r="D23" i="7"/>
  <c r="C23" i="7"/>
  <c r="AK22" i="7"/>
  <c r="AF22" i="7"/>
  <c r="AE22" i="7" s="1"/>
  <c r="AD22" i="7"/>
  <c r="AA22" i="7"/>
  <c r="Z22" i="7"/>
  <c r="X22" i="7"/>
  <c r="W22" i="7"/>
  <c r="AH22" i="7" s="1"/>
  <c r="V22" i="7"/>
  <c r="U22" i="7"/>
  <c r="AM22" i="7" s="1"/>
  <c r="R22" i="7"/>
  <c r="P22" i="7"/>
  <c r="O22" i="7"/>
  <c r="T22" i="7" s="1"/>
  <c r="S22" i="7" s="1"/>
  <c r="N22" i="7"/>
  <c r="M22" i="7"/>
  <c r="L22" i="7"/>
  <c r="K22" i="7"/>
  <c r="J22" i="7"/>
  <c r="H22" i="7"/>
  <c r="AI22" i="7" s="1"/>
  <c r="AO22" i="7" s="1"/>
  <c r="G22" i="7"/>
  <c r="F22" i="7"/>
  <c r="E22" i="7"/>
  <c r="D22" i="7"/>
  <c r="C22" i="7"/>
  <c r="AJ21" i="7"/>
  <c r="AI21" i="7"/>
  <c r="AE21" i="7"/>
  <c r="AD21" i="7"/>
  <c r="AA21" i="7"/>
  <c r="Z21" i="7"/>
  <c r="AF21" i="7" s="1"/>
  <c r="X21" i="7"/>
  <c r="W21" i="7"/>
  <c r="V21" i="7"/>
  <c r="AG21" i="7" s="1"/>
  <c r="R21" i="7"/>
  <c r="P21" i="7"/>
  <c r="O21" i="7"/>
  <c r="T21" i="7" s="1"/>
  <c r="S21" i="7" s="1"/>
  <c r="N21" i="7"/>
  <c r="M21" i="7"/>
  <c r="L21" i="7"/>
  <c r="K21" i="7"/>
  <c r="J21" i="7"/>
  <c r="H21" i="7"/>
  <c r="AK21" i="7" s="1"/>
  <c r="G21" i="7"/>
  <c r="F21" i="7"/>
  <c r="E21" i="7"/>
  <c r="D21" i="7"/>
  <c r="C21" i="7"/>
  <c r="AD20" i="7"/>
  <c r="AA20" i="7"/>
  <c r="AF20" i="7" s="1"/>
  <c r="AE20" i="7" s="1"/>
  <c r="Z20" i="7"/>
  <c r="X20" i="7"/>
  <c r="W20" i="7"/>
  <c r="V20" i="7"/>
  <c r="AG20" i="7" s="1"/>
  <c r="R20" i="7"/>
  <c r="T20" i="7" s="1"/>
  <c r="S20" i="7" s="1"/>
  <c r="P20" i="7"/>
  <c r="O20" i="7"/>
  <c r="N20" i="7"/>
  <c r="M20" i="7"/>
  <c r="L20" i="7"/>
  <c r="K20" i="7"/>
  <c r="U20" i="7" s="1"/>
  <c r="AM20" i="7" s="1"/>
  <c r="J20" i="7"/>
  <c r="H20" i="7"/>
  <c r="AK20" i="7" s="1"/>
  <c r="G20" i="7"/>
  <c r="F20" i="7"/>
  <c r="E20" i="7"/>
  <c r="D20" i="7"/>
  <c r="C20" i="7"/>
  <c r="AH19" i="7"/>
  <c r="AD19" i="7"/>
  <c r="AJ19" i="7" s="1"/>
  <c r="AA19" i="7"/>
  <c r="Z19" i="7"/>
  <c r="X19" i="7"/>
  <c r="W19" i="7"/>
  <c r="V19" i="7"/>
  <c r="R19" i="7"/>
  <c r="P19" i="7"/>
  <c r="O19" i="7"/>
  <c r="N19" i="7"/>
  <c r="M19" i="7"/>
  <c r="L19" i="7"/>
  <c r="K19" i="7"/>
  <c r="J19" i="7"/>
  <c r="H19" i="7"/>
  <c r="G19" i="7"/>
  <c r="U19" i="7" s="1"/>
  <c r="AM19" i="7" s="1"/>
  <c r="F19" i="7"/>
  <c r="E19" i="7"/>
  <c r="D19" i="7"/>
  <c r="C19" i="7"/>
  <c r="AK18" i="7"/>
  <c r="AD18" i="7"/>
  <c r="AA18" i="7"/>
  <c r="Z18" i="7"/>
  <c r="X18" i="7"/>
  <c r="W18" i="7"/>
  <c r="V18" i="7"/>
  <c r="R18" i="7"/>
  <c r="P18" i="7"/>
  <c r="O18" i="7"/>
  <c r="N18" i="7"/>
  <c r="M18" i="7"/>
  <c r="L18" i="7"/>
  <c r="K18" i="7"/>
  <c r="J18" i="7"/>
  <c r="U18" i="7" s="1"/>
  <c r="AM18" i="7" s="1"/>
  <c r="H18" i="7"/>
  <c r="AI18" i="7" s="1"/>
  <c r="G18" i="7"/>
  <c r="F18" i="7"/>
  <c r="E18" i="7"/>
  <c r="D18" i="7"/>
  <c r="C18" i="7"/>
  <c r="AO17" i="7"/>
  <c r="AL17" i="7"/>
  <c r="AI17" i="7"/>
  <c r="AD17" i="7"/>
  <c r="AA17" i="7"/>
  <c r="Z17" i="7"/>
  <c r="AF17" i="7" s="1"/>
  <c r="AE17" i="7" s="1"/>
  <c r="X17" i="7"/>
  <c r="W17" i="7"/>
  <c r="V17" i="7"/>
  <c r="S17" i="7"/>
  <c r="R17" i="7"/>
  <c r="P17" i="7"/>
  <c r="O17" i="7"/>
  <c r="N17" i="7"/>
  <c r="T17" i="7" s="1"/>
  <c r="M17" i="7"/>
  <c r="L17" i="7"/>
  <c r="K17" i="7"/>
  <c r="J17" i="7"/>
  <c r="H17" i="7"/>
  <c r="AK17" i="7" s="1"/>
  <c r="G17" i="7"/>
  <c r="F17" i="7"/>
  <c r="E17" i="7"/>
  <c r="D17" i="7"/>
  <c r="C17" i="7"/>
  <c r="AO16" i="7"/>
  <c r="AK16" i="7"/>
  <c r="AF16" i="7"/>
  <c r="AE16" i="7" s="1"/>
  <c r="AD16" i="7"/>
  <c r="AA16" i="7"/>
  <c r="Z16" i="7"/>
  <c r="X16" i="7"/>
  <c r="W16" i="7"/>
  <c r="V16" i="7"/>
  <c r="AG16" i="7" s="1"/>
  <c r="S16" i="7"/>
  <c r="R16" i="7"/>
  <c r="P16" i="7"/>
  <c r="O16" i="7"/>
  <c r="AI16" i="7" s="1"/>
  <c r="N16" i="7"/>
  <c r="T16" i="7" s="1"/>
  <c r="M16" i="7"/>
  <c r="L16" i="7"/>
  <c r="K16" i="7"/>
  <c r="J16" i="7"/>
  <c r="U16" i="7" s="1"/>
  <c r="AM16" i="7" s="1"/>
  <c r="H16" i="7"/>
  <c r="G16" i="7"/>
  <c r="F16" i="7"/>
  <c r="E16" i="7"/>
  <c r="D16" i="7"/>
  <c r="C16" i="7"/>
  <c r="AG15" i="7"/>
  <c r="AD15" i="7"/>
  <c r="AJ15" i="7" s="1"/>
  <c r="AA15" i="7"/>
  <c r="Z15" i="7"/>
  <c r="X15" i="7"/>
  <c r="W15" i="7"/>
  <c r="V15" i="7"/>
  <c r="R15" i="7"/>
  <c r="T15" i="7" s="1"/>
  <c r="S15" i="7" s="1"/>
  <c r="P15" i="7"/>
  <c r="O15" i="7"/>
  <c r="N15" i="7"/>
  <c r="M15" i="7"/>
  <c r="L15" i="7"/>
  <c r="K15" i="7"/>
  <c r="J15" i="7"/>
  <c r="H15" i="7"/>
  <c r="AK15" i="7" s="1"/>
  <c r="G15" i="7"/>
  <c r="F15" i="7"/>
  <c r="E15" i="7"/>
  <c r="D15" i="7"/>
  <c r="C15" i="7"/>
  <c r="AL14" i="7"/>
  <c r="AK14" i="7"/>
  <c r="AD14" i="7"/>
  <c r="AA14" i="7"/>
  <c r="AF14" i="7" s="1"/>
  <c r="AE14" i="7" s="1"/>
  <c r="Z14" i="7"/>
  <c r="X14" i="7"/>
  <c r="W14" i="7"/>
  <c r="AH14" i="7" s="1"/>
  <c r="V14" i="7"/>
  <c r="AG14" i="7" s="1"/>
  <c r="R14" i="7"/>
  <c r="P14" i="7"/>
  <c r="O14" i="7"/>
  <c r="N14" i="7"/>
  <c r="T14" i="7" s="1"/>
  <c r="S14" i="7" s="1"/>
  <c r="M14" i="7"/>
  <c r="L14" i="7"/>
  <c r="K14" i="7"/>
  <c r="J14" i="7"/>
  <c r="H14" i="7"/>
  <c r="G14" i="7"/>
  <c r="F14" i="7"/>
  <c r="E14" i="7"/>
  <c r="D14" i="7"/>
  <c r="C14" i="7"/>
  <c r="AE13" i="7"/>
  <c r="AD13" i="7"/>
  <c r="AA13" i="7"/>
  <c r="Z13" i="7"/>
  <c r="AF13" i="7" s="1"/>
  <c r="X13" i="7"/>
  <c r="W13" i="7"/>
  <c r="V13" i="7"/>
  <c r="R13" i="7"/>
  <c r="P13" i="7"/>
  <c r="O13" i="7"/>
  <c r="N13" i="7"/>
  <c r="T13" i="7" s="1"/>
  <c r="S13" i="7" s="1"/>
  <c r="M13" i="7"/>
  <c r="L13" i="7"/>
  <c r="K13" i="7"/>
  <c r="J13" i="7"/>
  <c r="H13" i="7"/>
  <c r="G13" i="7"/>
  <c r="F13" i="7"/>
  <c r="E13" i="7"/>
  <c r="D13" i="7"/>
  <c r="C13" i="7"/>
  <c r="AK12" i="7"/>
  <c r="AF12" i="7"/>
  <c r="AE12" i="7" s="1"/>
  <c r="AD12" i="7"/>
  <c r="AA12" i="7"/>
  <c r="Z12" i="7"/>
  <c r="X12" i="7"/>
  <c r="W12" i="7"/>
  <c r="V12" i="7"/>
  <c r="S12" i="7"/>
  <c r="R12" i="7"/>
  <c r="P12" i="7"/>
  <c r="O12" i="7"/>
  <c r="AI12" i="7" s="1"/>
  <c r="AO12" i="7" s="1"/>
  <c r="N12" i="7"/>
  <c r="T12" i="7" s="1"/>
  <c r="M12" i="7"/>
  <c r="L12" i="7"/>
  <c r="K12" i="7"/>
  <c r="J12" i="7"/>
  <c r="H12" i="7"/>
  <c r="G12" i="7"/>
  <c r="F12" i="7"/>
  <c r="E12" i="7"/>
  <c r="D12" i="7"/>
  <c r="C12" i="7"/>
  <c r="AP11" i="7"/>
  <c r="AJ11" i="7"/>
  <c r="AD11" i="7"/>
  <c r="AA11" i="7"/>
  <c r="Z11" i="7"/>
  <c r="X11" i="7"/>
  <c r="AL11" i="7" s="1"/>
  <c r="W11" i="7"/>
  <c r="V11" i="7"/>
  <c r="R11" i="7"/>
  <c r="P11" i="7"/>
  <c r="O11" i="7"/>
  <c r="N11" i="7"/>
  <c r="T11" i="7" s="1"/>
  <c r="S11" i="7" s="1"/>
  <c r="M11" i="7"/>
  <c r="L11" i="7"/>
  <c r="K11" i="7"/>
  <c r="AG11" i="7" s="1"/>
  <c r="J11" i="7"/>
  <c r="H11" i="7"/>
  <c r="G11" i="7"/>
  <c r="F11" i="7"/>
  <c r="E11" i="7"/>
  <c r="D11" i="7"/>
  <c r="C11" i="7"/>
  <c r="AI10" i="7"/>
  <c r="AD10" i="7"/>
  <c r="AA10" i="7"/>
  <c r="Z10" i="7"/>
  <c r="X10" i="7"/>
  <c r="W10" i="7"/>
  <c r="V10" i="7"/>
  <c r="R10" i="7"/>
  <c r="P10" i="7"/>
  <c r="O10" i="7"/>
  <c r="N10" i="7"/>
  <c r="T10" i="7" s="1"/>
  <c r="S10" i="7" s="1"/>
  <c r="M10" i="7"/>
  <c r="L10" i="7"/>
  <c r="K10" i="7"/>
  <c r="J10" i="7"/>
  <c r="H10" i="7"/>
  <c r="AK10" i="7" s="1"/>
  <c r="G10" i="7"/>
  <c r="F10" i="7"/>
  <c r="E10" i="7"/>
  <c r="D10" i="7"/>
  <c r="C10" i="7"/>
  <c r="AH9" i="7"/>
  <c r="AG9" i="7"/>
  <c r="AD9" i="7"/>
  <c r="AA9" i="7"/>
  <c r="Z9" i="7"/>
  <c r="AF9" i="7" s="1"/>
  <c r="AE9" i="7" s="1"/>
  <c r="X9" i="7"/>
  <c r="W9" i="7"/>
  <c r="V9" i="7"/>
  <c r="R9" i="7"/>
  <c r="P9" i="7"/>
  <c r="O9" i="7"/>
  <c r="N9" i="7"/>
  <c r="AK9" i="7" s="1"/>
  <c r="M9" i="7"/>
  <c r="L9" i="7"/>
  <c r="K9" i="7"/>
  <c r="J9" i="7"/>
  <c r="H9" i="7"/>
  <c r="G9" i="7"/>
  <c r="F9" i="7"/>
  <c r="E9" i="7"/>
  <c r="D9" i="7"/>
  <c r="C9" i="7"/>
  <c r="AD8" i="7"/>
  <c r="AA8" i="7"/>
  <c r="Z8" i="7"/>
  <c r="X8" i="7"/>
  <c r="W8" i="7"/>
  <c r="V8" i="7"/>
  <c r="R8" i="7"/>
  <c r="P8" i="7"/>
  <c r="O8" i="7"/>
  <c r="N8" i="7"/>
  <c r="T8" i="7" s="1"/>
  <c r="S8" i="7" s="1"/>
  <c r="M8" i="7"/>
  <c r="L8" i="7"/>
  <c r="K8" i="7"/>
  <c r="J8" i="7"/>
  <c r="H8" i="7"/>
  <c r="G8" i="7"/>
  <c r="F8" i="7"/>
  <c r="E8" i="7"/>
  <c r="D8" i="7"/>
  <c r="C8" i="7"/>
  <c r="AG7" i="7"/>
  <c r="AD7" i="7"/>
  <c r="AA7" i="7"/>
  <c r="Z7" i="7"/>
  <c r="X7" i="7"/>
  <c r="W7" i="7"/>
  <c r="V7" i="7"/>
  <c r="R7" i="7"/>
  <c r="T7" i="7" s="1"/>
  <c r="S7" i="7" s="1"/>
  <c r="P7" i="7"/>
  <c r="O7" i="7"/>
  <c r="N7" i="7"/>
  <c r="M7" i="7"/>
  <c r="L7" i="7"/>
  <c r="K7" i="7"/>
  <c r="AH7" i="7" s="1"/>
  <c r="AN7" i="7" s="1"/>
  <c r="J7" i="7"/>
  <c r="H7" i="7"/>
  <c r="G7" i="7"/>
  <c r="F7" i="7"/>
  <c r="E7" i="7"/>
  <c r="D7" i="7"/>
  <c r="C7" i="7"/>
  <c r="AL6" i="7"/>
  <c r="AD6" i="7"/>
  <c r="AA6" i="7"/>
  <c r="Z6" i="7"/>
  <c r="X6" i="7"/>
  <c r="W6" i="7"/>
  <c r="V6" i="7"/>
  <c r="R6" i="7"/>
  <c r="P6" i="7"/>
  <c r="O6" i="7"/>
  <c r="AK6" i="7" s="1"/>
  <c r="N6" i="7"/>
  <c r="T6" i="7" s="1"/>
  <c r="S6" i="7" s="1"/>
  <c r="M6" i="7"/>
  <c r="L6" i="7"/>
  <c r="K6" i="7"/>
  <c r="J6" i="7"/>
  <c r="H6" i="7"/>
  <c r="G6" i="7"/>
  <c r="F6" i="7"/>
  <c r="E6" i="7"/>
  <c r="D6" i="7"/>
  <c r="C6" i="7"/>
  <c r="AG5" i="7"/>
  <c r="AD5" i="7"/>
  <c r="AA5" i="7"/>
  <c r="Z5" i="7"/>
  <c r="X5" i="7"/>
  <c r="W5" i="7"/>
  <c r="AH5" i="7" s="1"/>
  <c r="AN5" i="7" s="1"/>
  <c r="V5" i="7"/>
  <c r="R5" i="7"/>
  <c r="T5" i="7" s="1"/>
  <c r="S5" i="7" s="1"/>
  <c r="P5" i="7"/>
  <c r="O5" i="7"/>
  <c r="N5" i="7"/>
  <c r="M5" i="7"/>
  <c r="L5" i="7"/>
  <c r="K5" i="7"/>
  <c r="J5" i="7"/>
  <c r="H5" i="7"/>
  <c r="AI5" i="7" s="1"/>
  <c r="G5" i="7"/>
  <c r="U5" i="7" s="1"/>
  <c r="AM5" i="7" s="1"/>
  <c r="F5" i="7"/>
  <c r="E5" i="7"/>
  <c r="D5" i="7"/>
  <c r="C5" i="7"/>
  <c r="AD4" i="7"/>
  <c r="AA4" i="7"/>
  <c r="AL4" i="7" s="1"/>
  <c r="Z4" i="7"/>
  <c r="X4" i="7"/>
  <c r="W4" i="7"/>
  <c r="V4" i="7"/>
  <c r="R4" i="7"/>
  <c r="P4" i="7"/>
  <c r="O4" i="7"/>
  <c r="N4" i="7"/>
  <c r="M4" i="7"/>
  <c r="L4" i="7"/>
  <c r="K4" i="7"/>
  <c r="J4" i="7"/>
  <c r="H4" i="7"/>
  <c r="G4" i="7"/>
  <c r="F4" i="7"/>
  <c r="E4" i="7"/>
  <c r="D4" i="7"/>
  <c r="C4" i="7"/>
  <c r="M53" i="6"/>
  <c r="L53" i="6"/>
  <c r="K53" i="6"/>
  <c r="J53" i="6"/>
  <c r="I53" i="6"/>
  <c r="G53" i="6"/>
  <c r="F53" i="6"/>
  <c r="E53" i="6"/>
  <c r="O53" i="6" s="1"/>
  <c r="D53" i="6"/>
  <c r="N53" i="6" s="1"/>
  <c r="C53" i="6"/>
  <c r="L52" i="6"/>
  <c r="K52" i="6"/>
  <c r="O52" i="6" s="1"/>
  <c r="J52" i="6"/>
  <c r="G52" i="6"/>
  <c r="I52" i="6" s="1"/>
  <c r="F52" i="6"/>
  <c r="E52" i="6"/>
  <c r="D52" i="6"/>
  <c r="C52" i="6"/>
  <c r="M52" i="6" s="1"/>
  <c r="P51" i="6"/>
  <c r="L51" i="6"/>
  <c r="K51" i="6"/>
  <c r="J51" i="6"/>
  <c r="G51" i="6"/>
  <c r="I51" i="6" s="1"/>
  <c r="M51" i="6" s="1"/>
  <c r="Q51" i="6" s="1"/>
  <c r="F51" i="6"/>
  <c r="E51" i="6"/>
  <c r="O51" i="6" s="1"/>
  <c r="D51" i="6"/>
  <c r="N51" i="6" s="1"/>
  <c r="C51" i="6"/>
  <c r="N50" i="6"/>
  <c r="L50" i="6"/>
  <c r="K50" i="6"/>
  <c r="J50" i="6"/>
  <c r="I50" i="6"/>
  <c r="G50" i="6"/>
  <c r="F50" i="6"/>
  <c r="P50" i="6" s="1"/>
  <c r="E50" i="6"/>
  <c r="D50" i="6"/>
  <c r="C50" i="6"/>
  <c r="N49" i="6"/>
  <c r="L49" i="6"/>
  <c r="K49" i="6"/>
  <c r="J49" i="6"/>
  <c r="I49" i="6"/>
  <c r="G49" i="6"/>
  <c r="F49" i="6"/>
  <c r="P49" i="6" s="1"/>
  <c r="E49" i="6"/>
  <c r="O49" i="6" s="1"/>
  <c r="Q49" i="6" s="1"/>
  <c r="D49" i="6"/>
  <c r="C49" i="6"/>
  <c r="M49" i="6" s="1"/>
  <c r="O48" i="6"/>
  <c r="L48" i="6"/>
  <c r="K48" i="6"/>
  <c r="J48" i="6"/>
  <c r="G48" i="6"/>
  <c r="I48" i="6" s="1"/>
  <c r="F48" i="6"/>
  <c r="P48" i="6" s="1"/>
  <c r="E48" i="6"/>
  <c r="D48" i="6"/>
  <c r="N48" i="6" s="1"/>
  <c r="C48" i="6"/>
  <c r="M48" i="6" s="1"/>
  <c r="P47" i="6"/>
  <c r="L47" i="6"/>
  <c r="K47" i="6"/>
  <c r="J47" i="6"/>
  <c r="N47" i="6" s="1"/>
  <c r="G47" i="6"/>
  <c r="I47" i="6" s="1"/>
  <c r="M47" i="6" s="1"/>
  <c r="F47" i="6"/>
  <c r="E47" i="6"/>
  <c r="O47" i="6" s="1"/>
  <c r="D47" i="6"/>
  <c r="L46" i="6"/>
  <c r="K46" i="6"/>
  <c r="J46" i="6"/>
  <c r="N46" i="6" s="1"/>
  <c r="G46" i="6"/>
  <c r="I46" i="6" s="1"/>
  <c r="F46" i="6"/>
  <c r="P46" i="6" s="1"/>
  <c r="E46" i="6"/>
  <c r="D46" i="6"/>
  <c r="C46" i="6"/>
  <c r="M46" i="6" s="1"/>
  <c r="P45" i="6"/>
  <c r="N45" i="6"/>
  <c r="Q45" i="6" s="1"/>
  <c r="L45" i="6"/>
  <c r="K45" i="6"/>
  <c r="J45" i="6"/>
  <c r="G45" i="6"/>
  <c r="I45" i="6" s="1"/>
  <c r="M45" i="6" s="1"/>
  <c r="F45" i="6"/>
  <c r="E45" i="6"/>
  <c r="O45" i="6" s="1"/>
  <c r="D45" i="6"/>
  <c r="C45" i="6"/>
  <c r="N44" i="6"/>
  <c r="L44" i="6"/>
  <c r="K44" i="6"/>
  <c r="J44" i="6"/>
  <c r="I44" i="6"/>
  <c r="M44" i="6" s="1"/>
  <c r="G44" i="6"/>
  <c r="F44" i="6"/>
  <c r="P44" i="6" s="1"/>
  <c r="E44" i="6"/>
  <c r="O44" i="6" s="1"/>
  <c r="D44" i="6"/>
  <c r="N43" i="6"/>
  <c r="L43" i="6"/>
  <c r="P43" i="6" s="1"/>
  <c r="K43" i="6"/>
  <c r="J43" i="6"/>
  <c r="I43" i="6"/>
  <c r="M43" i="6" s="1"/>
  <c r="G43" i="6"/>
  <c r="F43" i="6"/>
  <c r="E43" i="6"/>
  <c r="O43" i="6" s="1"/>
  <c r="D43" i="6"/>
  <c r="L42" i="6"/>
  <c r="P42" i="6" s="1"/>
  <c r="K42" i="6"/>
  <c r="J42" i="6"/>
  <c r="G42" i="6"/>
  <c r="I42" i="6" s="1"/>
  <c r="F42" i="6"/>
  <c r="E42" i="6"/>
  <c r="O42" i="6" s="1"/>
  <c r="D42" i="6"/>
  <c r="N42" i="6" s="1"/>
  <c r="C42" i="6"/>
  <c r="M42" i="6" s="1"/>
  <c r="Q42" i="6" s="1"/>
  <c r="N41" i="6"/>
  <c r="L41" i="6"/>
  <c r="K41" i="6"/>
  <c r="J41" i="6"/>
  <c r="I41" i="6"/>
  <c r="G41" i="6"/>
  <c r="F41" i="6"/>
  <c r="P41" i="6" s="1"/>
  <c r="E41" i="6"/>
  <c r="O41" i="6" s="1"/>
  <c r="D41" i="6"/>
  <c r="C41" i="6"/>
  <c r="O40" i="6"/>
  <c r="L40" i="6"/>
  <c r="K40" i="6"/>
  <c r="J40" i="6"/>
  <c r="I40" i="6"/>
  <c r="M40" i="6" s="1"/>
  <c r="G40" i="6"/>
  <c r="F40" i="6"/>
  <c r="P40" i="6" s="1"/>
  <c r="E40" i="6"/>
  <c r="D40" i="6"/>
  <c r="C40" i="6"/>
  <c r="O39" i="6"/>
  <c r="L39" i="6"/>
  <c r="K39" i="6"/>
  <c r="J39" i="6"/>
  <c r="G39" i="6"/>
  <c r="I39" i="6" s="1"/>
  <c r="F39" i="6"/>
  <c r="P39" i="6" s="1"/>
  <c r="E39" i="6"/>
  <c r="D39" i="6"/>
  <c r="N39" i="6" s="1"/>
  <c r="C39" i="6"/>
  <c r="M39" i="6" s="1"/>
  <c r="Q39" i="6" s="1"/>
  <c r="L38" i="6"/>
  <c r="P38" i="6" s="1"/>
  <c r="K38" i="6"/>
  <c r="J38" i="6"/>
  <c r="G38" i="6"/>
  <c r="I38" i="6" s="1"/>
  <c r="F38" i="6"/>
  <c r="E38" i="6"/>
  <c r="D38" i="6"/>
  <c r="N38" i="6" s="1"/>
  <c r="C38" i="6"/>
  <c r="M38" i="6" s="1"/>
  <c r="P37" i="6"/>
  <c r="L37" i="6"/>
  <c r="K37" i="6"/>
  <c r="J37" i="6"/>
  <c r="N37" i="6" s="1"/>
  <c r="I37" i="6"/>
  <c r="G37" i="6"/>
  <c r="F37" i="6"/>
  <c r="E37" i="6"/>
  <c r="D37" i="6"/>
  <c r="C37" i="6"/>
  <c r="M37" i="6" s="1"/>
  <c r="L36" i="6"/>
  <c r="K36" i="6"/>
  <c r="J36" i="6"/>
  <c r="N36" i="6" s="1"/>
  <c r="G36" i="6"/>
  <c r="I36" i="6" s="1"/>
  <c r="F36" i="6"/>
  <c r="P36" i="6" s="1"/>
  <c r="E36" i="6"/>
  <c r="O36" i="6" s="1"/>
  <c r="D36" i="6"/>
  <c r="C36" i="6"/>
  <c r="L35" i="6"/>
  <c r="K35" i="6"/>
  <c r="J35" i="6"/>
  <c r="G35" i="6"/>
  <c r="I35" i="6" s="1"/>
  <c r="F35" i="6"/>
  <c r="P35" i="6" s="1"/>
  <c r="E35" i="6"/>
  <c r="O35" i="6" s="1"/>
  <c r="D35" i="6"/>
  <c r="N35" i="6" s="1"/>
  <c r="C35" i="6"/>
  <c r="M35" i="6" s="1"/>
  <c r="Q35" i="6" s="1"/>
  <c r="L34" i="6"/>
  <c r="P34" i="6" s="1"/>
  <c r="K34" i="6"/>
  <c r="J34" i="6"/>
  <c r="G34" i="6"/>
  <c r="I34" i="6" s="1"/>
  <c r="F34" i="6"/>
  <c r="E34" i="6"/>
  <c r="O34" i="6" s="1"/>
  <c r="D34" i="6"/>
  <c r="N34" i="6" s="1"/>
  <c r="C34" i="6"/>
  <c r="L33" i="6"/>
  <c r="P33" i="6" s="1"/>
  <c r="K33" i="6"/>
  <c r="J33" i="6"/>
  <c r="N33" i="6" s="1"/>
  <c r="I33" i="6"/>
  <c r="G33" i="6"/>
  <c r="F33" i="6"/>
  <c r="E33" i="6"/>
  <c r="D33" i="6"/>
  <c r="C33" i="6"/>
  <c r="N32" i="6"/>
  <c r="L32" i="6"/>
  <c r="K32" i="6"/>
  <c r="J32" i="6"/>
  <c r="G32" i="6"/>
  <c r="I32" i="6" s="1"/>
  <c r="F32" i="6"/>
  <c r="P32" i="6" s="1"/>
  <c r="E32" i="6"/>
  <c r="O32" i="6" s="1"/>
  <c r="D32" i="6"/>
  <c r="C32" i="6"/>
  <c r="L31" i="6"/>
  <c r="K31" i="6"/>
  <c r="J31" i="6"/>
  <c r="G31" i="6"/>
  <c r="I31" i="6" s="1"/>
  <c r="F31" i="6"/>
  <c r="P31" i="6" s="1"/>
  <c r="E31" i="6"/>
  <c r="O31" i="6" s="1"/>
  <c r="D31" i="6"/>
  <c r="N31" i="6" s="1"/>
  <c r="C31" i="6"/>
  <c r="M31" i="6" s="1"/>
  <c r="Q31" i="6" s="1"/>
  <c r="L30" i="6"/>
  <c r="P30" i="6" s="1"/>
  <c r="K30" i="6"/>
  <c r="J30" i="6"/>
  <c r="G30" i="6"/>
  <c r="I30" i="6" s="1"/>
  <c r="F30" i="6"/>
  <c r="E30" i="6"/>
  <c r="O30" i="6" s="1"/>
  <c r="D30" i="6"/>
  <c r="N30" i="6" s="1"/>
  <c r="C30" i="6"/>
  <c r="M30" i="6" s="1"/>
  <c r="Q30" i="6" s="1"/>
  <c r="P29" i="6"/>
  <c r="L29" i="6"/>
  <c r="K29" i="6"/>
  <c r="J29" i="6"/>
  <c r="N29" i="6" s="1"/>
  <c r="G29" i="6"/>
  <c r="I29" i="6" s="1"/>
  <c r="F29" i="6"/>
  <c r="E29" i="6"/>
  <c r="D29" i="6"/>
  <c r="C29" i="6"/>
  <c r="N28" i="6"/>
  <c r="L28" i="6"/>
  <c r="K28" i="6"/>
  <c r="J28" i="6"/>
  <c r="G28" i="6"/>
  <c r="I28" i="6" s="1"/>
  <c r="F28" i="6"/>
  <c r="P28" i="6" s="1"/>
  <c r="E28" i="6"/>
  <c r="O28" i="6" s="1"/>
  <c r="D28" i="6"/>
  <c r="C28" i="6"/>
  <c r="L27" i="6"/>
  <c r="K27" i="6"/>
  <c r="J27" i="6"/>
  <c r="G27" i="6"/>
  <c r="I27" i="6" s="1"/>
  <c r="F27" i="6"/>
  <c r="P27" i="6" s="1"/>
  <c r="E27" i="6"/>
  <c r="O27" i="6" s="1"/>
  <c r="D27" i="6"/>
  <c r="C27" i="6"/>
  <c r="M27" i="6" s="1"/>
  <c r="P26" i="6"/>
  <c r="L26" i="6"/>
  <c r="K26" i="6"/>
  <c r="J26" i="6"/>
  <c r="G26" i="6"/>
  <c r="I26" i="6" s="1"/>
  <c r="F26" i="6"/>
  <c r="E26" i="6"/>
  <c r="O26" i="6" s="1"/>
  <c r="D26" i="6"/>
  <c r="N26" i="6" s="1"/>
  <c r="C26" i="6"/>
  <c r="M26" i="6" s="1"/>
  <c r="Q26" i="6" s="1"/>
  <c r="L25" i="6"/>
  <c r="K25" i="6"/>
  <c r="J25" i="6"/>
  <c r="N25" i="6" s="1"/>
  <c r="I25" i="6"/>
  <c r="G25" i="6"/>
  <c r="F25" i="6"/>
  <c r="P25" i="6" s="1"/>
  <c r="E25" i="6"/>
  <c r="O25" i="6" s="1"/>
  <c r="D25" i="6"/>
  <c r="C25" i="6"/>
  <c r="O24" i="6"/>
  <c r="L24" i="6"/>
  <c r="K24" i="6"/>
  <c r="J24" i="6"/>
  <c r="N24" i="6" s="1"/>
  <c r="I24" i="6"/>
  <c r="M24" i="6" s="1"/>
  <c r="G24" i="6"/>
  <c r="F24" i="6"/>
  <c r="P24" i="6" s="1"/>
  <c r="E24" i="6"/>
  <c r="D24" i="6"/>
  <c r="C24" i="6"/>
  <c r="L23" i="6"/>
  <c r="K23" i="6"/>
  <c r="J23" i="6"/>
  <c r="G23" i="6"/>
  <c r="I23" i="6" s="1"/>
  <c r="F23" i="6"/>
  <c r="E23" i="6"/>
  <c r="O23" i="6" s="1"/>
  <c r="D23" i="6"/>
  <c r="N23" i="6" s="1"/>
  <c r="C23" i="6"/>
  <c r="M23" i="6" s="1"/>
  <c r="P22" i="6"/>
  <c r="L22" i="6"/>
  <c r="K22" i="6"/>
  <c r="J22" i="6"/>
  <c r="N22" i="6" s="1"/>
  <c r="G22" i="6"/>
  <c r="I22" i="6" s="1"/>
  <c r="M22" i="6" s="1"/>
  <c r="F22" i="6"/>
  <c r="E22" i="6"/>
  <c r="D22" i="6"/>
  <c r="C22" i="6"/>
  <c r="P21" i="6"/>
  <c r="N21" i="6"/>
  <c r="L21" i="6"/>
  <c r="K21" i="6"/>
  <c r="J21" i="6"/>
  <c r="G21" i="6"/>
  <c r="I21" i="6" s="1"/>
  <c r="F21" i="6"/>
  <c r="E21" i="6"/>
  <c r="O21" i="6" s="1"/>
  <c r="D21" i="6"/>
  <c r="C21" i="6"/>
  <c r="M20" i="6"/>
  <c r="L20" i="6"/>
  <c r="P20" i="6" s="1"/>
  <c r="K20" i="6"/>
  <c r="J20" i="6"/>
  <c r="I20" i="6"/>
  <c r="G20" i="6"/>
  <c r="F20" i="6"/>
  <c r="E20" i="6"/>
  <c r="O20" i="6" s="1"/>
  <c r="D20" i="6"/>
  <c r="N20" i="6" s="1"/>
  <c r="C20" i="6"/>
  <c r="L19" i="6"/>
  <c r="K19" i="6"/>
  <c r="J19" i="6"/>
  <c r="G19" i="6"/>
  <c r="I19" i="6" s="1"/>
  <c r="F19" i="6"/>
  <c r="P19" i="6" s="1"/>
  <c r="E19" i="6"/>
  <c r="D19" i="6"/>
  <c r="N19" i="6" s="1"/>
  <c r="C19" i="6"/>
  <c r="M19" i="6" s="1"/>
  <c r="N18" i="6"/>
  <c r="L18" i="6"/>
  <c r="P18" i="6" s="1"/>
  <c r="K18" i="6"/>
  <c r="J18" i="6"/>
  <c r="I18" i="6"/>
  <c r="G18" i="6"/>
  <c r="F18" i="6"/>
  <c r="E18" i="6"/>
  <c r="O18" i="6" s="1"/>
  <c r="D18" i="6"/>
  <c r="C18" i="6"/>
  <c r="M18" i="6" s="1"/>
  <c r="L17" i="6"/>
  <c r="K17" i="6"/>
  <c r="J17" i="6"/>
  <c r="N17" i="6" s="1"/>
  <c r="I17" i="6"/>
  <c r="G17" i="6"/>
  <c r="F17" i="6"/>
  <c r="E17" i="6"/>
  <c r="D17" i="6"/>
  <c r="C17" i="6"/>
  <c r="Q16" i="6"/>
  <c r="O16" i="6"/>
  <c r="L16" i="6"/>
  <c r="K16" i="6"/>
  <c r="J16" i="6"/>
  <c r="N16" i="6" s="1"/>
  <c r="I16" i="6"/>
  <c r="M16" i="6" s="1"/>
  <c r="G16" i="6"/>
  <c r="F16" i="6"/>
  <c r="P16" i="6" s="1"/>
  <c r="E16" i="6"/>
  <c r="D16" i="6"/>
  <c r="C16" i="6"/>
  <c r="L15" i="6"/>
  <c r="K15" i="6"/>
  <c r="J15" i="6"/>
  <c r="G15" i="6"/>
  <c r="I15" i="6" s="1"/>
  <c r="F15" i="6"/>
  <c r="E15" i="6"/>
  <c r="O15" i="6" s="1"/>
  <c r="D15" i="6"/>
  <c r="N15" i="6" s="1"/>
  <c r="C15" i="6"/>
  <c r="M15" i="6" s="1"/>
  <c r="P14" i="6"/>
  <c r="L14" i="6"/>
  <c r="K14" i="6"/>
  <c r="J14" i="6"/>
  <c r="N14" i="6" s="1"/>
  <c r="G14" i="6"/>
  <c r="I14" i="6" s="1"/>
  <c r="M14" i="6" s="1"/>
  <c r="F14" i="6"/>
  <c r="E14" i="6"/>
  <c r="D14" i="6"/>
  <c r="C14" i="6"/>
  <c r="P13" i="6"/>
  <c r="N13" i="6"/>
  <c r="L13" i="6"/>
  <c r="K13" i="6"/>
  <c r="J13" i="6"/>
  <c r="G13" i="6"/>
  <c r="I13" i="6" s="1"/>
  <c r="F13" i="6"/>
  <c r="E13" i="6"/>
  <c r="O13" i="6" s="1"/>
  <c r="D13" i="6"/>
  <c r="C13" i="6"/>
  <c r="N12" i="6"/>
  <c r="M12" i="6"/>
  <c r="L12" i="6"/>
  <c r="P12" i="6" s="1"/>
  <c r="K12" i="6"/>
  <c r="J12" i="6"/>
  <c r="I12" i="6"/>
  <c r="G12" i="6"/>
  <c r="F12" i="6"/>
  <c r="E12" i="6"/>
  <c r="O12" i="6" s="1"/>
  <c r="D12" i="6"/>
  <c r="C12" i="6"/>
  <c r="L11" i="6"/>
  <c r="K11" i="6"/>
  <c r="J11" i="6"/>
  <c r="G11" i="6"/>
  <c r="I11" i="6" s="1"/>
  <c r="F11" i="6"/>
  <c r="P11" i="6" s="1"/>
  <c r="E11" i="6"/>
  <c r="D11" i="6"/>
  <c r="C11" i="6"/>
  <c r="M11" i="6" s="1"/>
  <c r="N10" i="6"/>
  <c r="L10" i="6"/>
  <c r="P10" i="6" s="1"/>
  <c r="K10" i="6"/>
  <c r="J10" i="6"/>
  <c r="I10" i="6"/>
  <c r="G10" i="6"/>
  <c r="F10" i="6"/>
  <c r="E10" i="6"/>
  <c r="O10" i="6" s="1"/>
  <c r="D10" i="6"/>
  <c r="C10" i="6"/>
  <c r="M10" i="6" s="1"/>
  <c r="L9" i="6"/>
  <c r="K9" i="6"/>
  <c r="J9" i="6"/>
  <c r="N9" i="6" s="1"/>
  <c r="G9" i="6"/>
  <c r="I9" i="6" s="1"/>
  <c r="F9" i="6"/>
  <c r="E9" i="6"/>
  <c r="O9" i="6" s="1"/>
  <c r="D9" i="6"/>
  <c r="C9" i="6"/>
  <c r="L8" i="6"/>
  <c r="K8" i="6"/>
  <c r="J8" i="6"/>
  <c r="N8" i="6" s="1"/>
  <c r="Q8" i="6" s="1"/>
  <c r="I8" i="6"/>
  <c r="M8" i="6" s="1"/>
  <c r="G8" i="6"/>
  <c r="F8" i="6"/>
  <c r="P8" i="6" s="1"/>
  <c r="E8" i="6"/>
  <c r="O8" i="6" s="1"/>
  <c r="D8" i="6"/>
  <c r="C8" i="6"/>
  <c r="N7" i="6"/>
  <c r="L7" i="6"/>
  <c r="K7" i="6"/>
  <c r="J7" i="6"/>
  <c r="G7" i="6"/>
  <c r="I7" i="6" s="1"/>
  <c r="F7" i="6"/>
  <c r="P7" i="6" s="1"/>
  <c r="E7" i="6"/>
  <c r="D7" i="6"/>
  <c r="C7" i="6"/>
  <c r="M7" i="6" s="1"/>
  <c r="P6" i="6"/>
  <c r="L6" i="6"/>
  <c r="K6" i="6"/>
  <c r="O6" i="6" s="1"/>
  <c r="J6" i="6"/>
  <c r="N6" i="6" s="1"/>
  <c r="I6" i="6"/>
  <c r="G6" i="6"/>
  <c r="F6" i="6"/>
  <c r="E6" i="6"/>
  <c r="D6" i="6"/>
  <c r="C6" i="6"/>
  <c r="AI51" i="5"/>
  <c r="AJ51" i="5" s="1"/>
  <c r="AB51" i="5"/>
  <c r="AA51" i="5"/>
  <c r="W51" i="5"/>
  <c r="T51" i="5"/>
  <c r="P51" i="5"/>
  <c r="O51" i="5"/>
  <c r="N51" i="5"/>
  <c r="M51" i="5"/>
  <c r="L51" i="5"/>
  <c r="AG51" i="5" s="1"/>
  <c r="K51" i="5"/>
  <c r="J51" i="5"/>
  <c r="I51" i="5"/>
  <c r="AC51" i="5" s="1"/>
  <c r="H51" i="5"/>
  <c r="G51" i="5"/>
  <c r="F51" i="5"/>
  <c r="Z51" i="5" s="1"/>
  <c r="E51" i="5"/>
  <c r="Y51" i="5" s="1"/>
  <c r="AD51" i="5" s="1"/>
  <c r="D51" i="5"/>
  <c r="X51" i="5" s="1"/>
  <c r="C51" i="5"/>
  <c r="AI50" i="5"/>
  <c r="AC50" i="5"/>
  <c r="AA50" i="5"/>
  <c r="T50" i="5"/>
  <c r="P50" i="5"/>
  <c r="O50" i="5"/>
  <c r="N50" i="5"/>
  <c r="AH50" i="5" s="1"/>
  <c r="M50" i="5"/>
  <c r="L50" i="5"/>
  <c r="AG50" i="5" s="1"/>
  <c r="AJ50" i="5" s="1"/>
  <c r="K50" i="5"/>
  <c r="J50" i="5"/>
  <c r="I50" i="5"/>
  <c r="H50" i="5"/>
  <c r="AB50" i="5" s="1"/>
  <c r="G50" i="5"/>
  <c r="F50" i="5"/>
  <c r="Z50" i="5" s="1"/>
  <c r="E50" i="5"/>
  <c r="Y50" i="5" s="1"/>
  <c r="AD50" i="5" s="1"/>
  <c r="D50" i="5"/>
  <c r="X50" i="5" s="1"/>
  <c r="C50" i="5"/>
  <c r="W50" i="5" s="1"/>
  <c r="AC49" i="5"/>
  <c r="AB49" i="5"/>
  <c r="Z49" i="5"/>
  <c r="T49" i="5"/>
  <c r="P49" i="5"/>
  <c r="O49" i="5"/>
  <c r="N49" i="5"/>
  <c r="M49" i="5"/>
  <c r="AH49" i="5" s="1"/>
  <c r="L49" i="5"/>
  <c r="K49" i="5"/>
  <c r="J49" i="5"/>
  <c r="I49" i="5"/>
  <c r="H49" i="5"/>
  <c r="G49" i="5"/>
  <c r="AA49" i="5" s="1"/>
  <c r="F49" i="5"/>
  <c r="E49" i="5"/>
  <c r="Y49" i="5" s="1"/>
  <c r="AD49" i="5" s="1"/>
  <c r="D49" i="5"/>
  <c r="X49" i="5" s="1"/>
  <c r="C49" i="5"/>
  <c r="W49" i="5" s="1"/>
  <c r="AE49" i="5" s="1"/>
  <c r="AB48" i="5"/>
  <c r="AA48" i="5"/>
  <c r="Y48" i="5"/>
  <c r="AD48" i="5" s="1"/>
  <c r="X48" i="5"/>
  <c r="T48" i="5"/>
  <c r="P48" i="5"/>
  <c r="O48" i="5"/>
  <c r="N48" i="5"/>
  <c r="M48" i="5"/>
  <c r="L48" i="5"/>
  <c r="AG48" i="5" s="1"/>
  <c r="K48" i="5"/>
  <c r="J48" i="5"/>
  <c r="I48" i="5"/>
  <c r="AC48" i="5" s="1"/>
  <c r="H48" i="5"/>
  <c r="G48" i="5"/>
  <c r="F48" i="5"/>
  <c r="Z48" i="5" s="1"/>
  <c r="E48" i="5"/>
  <c r="D48" i="5"/>
  <c r="C48" i="5"/>
  <c r="W48" i="5" s="1"/>
  <c r="AE48" i="5" s="1"/>
  <c r="AI47" i="5"/>
  <c r="AF47" i="5"/>
  <c r="AA47" i="5"/>
  <c r="X47" i="5"/>
  <c r="T47" i="5"/>
  <c r="P47" i="5"/>
  <c r="O47" i="5"/>
  <c r="N47" i="5"/>
  <c r="M47" i="5"/>
  <c r="L47" i="5"/>
  <c r="AG47" i="5" s="1"/>
  <c r="K47" i="5"/>
  <c r="J47" i="5"/>
  <c r="I47" i="5"/>
  <c r="AC47" i="5" s="1"/>
  <c r="H47" i="5"/>
  <c r="AB47" i="5" s="1"/>
  <c r="G47" i="5"/>
  <c r="F47" i="5"/>
  <c r="Z47" i="5" s="1"/>
  <c r="E47" i="5"/>
  <c r="Y47" i="5" s="1"/>
  <c r="AD47" i="5" s="1"/>
  <c r="D47" i="5"/>
  <c r="C47" i="5"/>
  <c r="W47" i="5" s="1"/>
  <c r="AE47" i="5" s="1"/>
  <c r="AH46" i="5"/>
  <c r="Z46" i="5"/>
  <c r="W46" i="5"/>
  <c r="AE46" i="5" s="1"/>
  <c r="T46" i="5"/>
  <c r="P46" i="5"/>
  <c r="O46" i="5"/>
  <c r="N46" i="5"/>
  <c r="M46" i="5"/>
  <c r="L46" i="5"/>
  <c r="AI46" i="5" s="1"/>
  <c r="K46" i="5"/>
  <c r="J46" i="5"/>
  <c r="AF46" i="5" s="1"/>
  <c r="I46" i="5"/>
  <c r="AC46" i="5" s="1"/>
  <c r="H46" i="5"/>
  <c r="AB46" i="5" s="1"/>
  <c r="G46" i="5"/>
  <c r="AA46" i="5" s="1"/>
  <c r="F46" i="5"/>
  <c r="E46" i="5"/>
  <c r="Y46" i="5" s="1"/>
  <c r="AD46" i="5" s="1"/>
  <c r="D46" i="5"/>
  <c r="X46" i="5" s="1"/>
  <c r="C46" i="5"/>
  <c r="AG45" i="5"/>
  <c r="AJ45" i="5" s="1"/>
  <c r="AD45" i="5"/>
  <c r="T45" i="5"/>
  <c r="Y45" i="5" s="1"/>
  <c r="P45" i="5"/>
  <c r="O45" i="5"/>
  <c r="N45" i="5"/>
  <c r="M45" i="5"/>
  <c r="L45" i="5"/>
  <c r="AI45" i="5" s="1"/>
  <c r="K45" i="5"/>
  <c r="J45" i="5"/>
  <c r="I45" i="5"/>
  <c r="AC45" i="5" s="1"/>
  <c r="H45" i="5"/>
  <c r="AB45" i="5" s="1"/>
  <c r="G45" i="5"/>
  <c r="AA45" i="5" s="1"/>
  <c r="F45" i="5"/>
  <c r="Z45" i="5" s="1"/>
  <c r="E45" i="5"/>
  <c r="D45" i="5"/>
  <c r="X45" i="5" s="1"/>
  <c r="C45" i="5"/>
  <c r="W45" i="5" s="1"/>
  <c r="AJ44" i="5"/>
  <c r="AI44" i="5"/>
  <c r="AB44" i="5"/>
  <c r="X44" i="5"/>
  <c r="W44" i="5"/>
  <c r="AE44" i="5" s="1"/>
  <c r="T44" i="5"/>
  <c r="P44" i="5"/>
  <c r="O44" i="5"/>
  <c r="N44" i="5"/>
  <c r="M44" i="5"/>
  <c r="L44" i="5"/>
  <c r="AG44" i="5" s="1"/>
  <c r="K44" i="5"/>
  <c r="J44" i="5"/>
  <c r="I44" i="5"/>
  <c r="AC44" i="5" s="1"/>
  <c r="H44" i="5"/>
  <c r="G44" i="5"/>
  <c r="AA44" i="5" s="1"/>
  <c r="F44" i="5"/>
  <c r="Z44" i="5" s="1"/>
  <c r="E44" i="5"/>
  <c r="D44" i="5"/>
  <c r="C44" i="5"/>
  <c r="AI43" i="5"/>
  <c r="AD43" i="5"/>
  <c r="AC43" i="5"/>
  <c r="AA43" i="5"/>
  <c r="W43" i="5"/>
  <c r="T43" i="5"/>
  <c r="P43" i="5"/>
  <c r="O43" i="5"/>
  <c r="N43" i="5"/>
  <c r="M43" i="5"/>
  <c r="L43" i="5"/>
  <c r="AG43" i="5" s="1"/>
  <c r="K43" i="5"/>
  <c r="J43" i="5"/>
  <c r="I43" i="5"/>
  <c r="H43" i="5"/>
  <c r="AB43" i="5" s="1"/>
  <c r="G43" i="5"/>
  <c r="F43" i="5"/>
  <c r="Z43" i="5" s="1"/>
  <c r="E43" i="5"/>
  <c r="Y43" i="5" s="1"/>
  <c r="D43" i="5"/>
  <c r="X43" i="5" s="1"/>
  <c r="C43" i="5"/>
  <c r="AJ42" i="5"/>
  <c r="AI42" i="5"/>
  <c r="AG42" i="5"/>
  <c r="AC42" i="5"/>
  <c r="AB42" i="5"/>
  <c r="Z42" i="5"/>
  <c r="T42" i="5"/>
  <c r="P42" i="5"/>
  <c r="O42" i="5"/>
  <c r="N42" i="5"/>
  <c r="M42" i="5"/>
  <c r="L42" i="5"/>
  <c r="K42" i="5"/>
  <c r="J42" i="5"/>
  <c r="I42" i="5"/>
  <c r="H42" i="5"/>
  <c r="G42" i="5"/>
  <c r="AA42" i="5" s="1"/>
  <c r="F42" i="5"/>
  <c r="E42" i="5"/>
  <c r="Y42" i="5" s="1"/>
  <c r="AD42" i="5" s="1"/>
  <c r="D42" i="5"/>
  <c r="X42" i="5" s="1"/>
  <c r="C42" i="5"/>
  <c r="W42" i="5" s="1"/>
  <c r="AG41" i="5"/>
  <c r="AJ41" i="5" s="1"/>
  <c r="AC41" i="5"/>
  <c r="AA41" i="5"/>
  <c r="X41" i="5"/>
  <c r="T41" i="5"/>
  <c r="P41" i="5"/>
  <c r="O41" i="5"/>
  <c r="N41" i="5"/>
  <c r="AH41" i="5" s="1"/>
  <c r="M41" i="5"/>
  <c r="L41" i="5"/>
  <c r="AI41" i="5" s="1"/>
  <c r="K41" i="5"/>
  <c r="J41" i="5"/>
  <c r="I41" i="5"/>
  <c r="H41" i="5"/>
  <c r="AB41" i="5" s="1"/>
  <c r="G41" i="5"/>
  <c r="F41" i="5"/>
  <c r="Z41" i="5" s="1"/>
  <c r="E41" i="5"/>
  <c r="Y41" i="5" s="1"/>
  <c r="AD41" i="5" s="1"/>
  <c r="D41" i="5"/>
  <c r="C41" i="5"/>
  <c r="W41" i="5" s="1"/>
  <c r="AH40" i="5"/>
  <c r="Z40" i="5"/>
  <c r="T40" i="5"/>
  <c r="P40" i="5"/>
  <c r="O40" i="5"/>
  <c r="N40" i="5"/>
  <c r="M40" i="5"/>
  <c r="AF40" i="5" s="1"/>
  <c r="AK40" i="5" s="1"/>
  <c r="L40" i="5"/>
  <c r="K40" i="5"/>
  <c r="J40" i="5"/>
  <c r="I40" i="5"/>
  <c r="AC40" i="5" s="1"/>
  <c r="H40" i="5"/>
  <c r="AB40" i="5" s="1"/>
  <c r="G40" i="5"/>
  <c r="AA40" i="5" s="1"/>
  <c r="F40" i="5"/>
  <c r="E40" i="5"/>
  <c r="Y40" i="5" s="1"/>
  <c r="AD40" i="5" s="1"/>
  <c r="D40" i="5"/>
  <c r="X40" i="5" s="1"/>
  <c r="C40" i="5"/>
  <c r="W40" i="5" s="1"/>
  <c r="AE39" i="5"/>
  <c r="AB39" i="5"/>
  <c r="AA39" i="5"/>
  <c r="W39" i="5"/>
  <c r="T39" i="5"/>
  <c r="P39" i="5"/>
  <c r="O39" i="5"/>
  <c r="N39" i="5"/>
  <c r="M39" i="5"/>
  <c r="L39" i="5"/>
  <c r="AI39" i="5" s="1"/>
  <c r="K39" i="5"/>
  <c r="J39" i="5"/>
  <c r="I39" i="5"/>
  <c r="AC39" i="5" s="1"/>
  <c r="H39" i="5"/>
  <c r="G39" i="5"/>
  <c r="F39" i="5"/>
  <c r="Z39" i="5" s="1"/>
  <c r="E39" i="5"/>
  <c r="D39" i="5"/>
  <c r="X39" i="5" s="1"/>
  <c r="C39" i="5"/>
  <c r="AI38" i="5"/>
  <c r="AG38" i="5"/>
  <c r="AC38" i="5"/>
  <c r="AA38" i="5"/>
  <c r="Z38" i="5"/>
  <c r="X38" i="5"/>
  <c r="T38" i="5"/>
  <c r="P38" i="5"/>
  <c r="O38" i="5"/>
  <c r="N38" i="5"/>
  <c r="M38" i="5"/>
  <c r="L38" i="5"/>
  <c r="K38" i="5"/>
  <c r="J38" i="5"/>
  <c r="I38" i="5"/>
  <c r="H38" i="5"/>
  <c r="AB38" i="5" s="1"/>
  <c r="G38" i="5"/>
  <c r="F38" i="5"/>
  <c r="E38" i="5"/>
  <c r="Y38" i="5" s="1"/>
  <c r="AD38" i="5" s="1"/>
  <c r="D38" i="5"/>
  <c r="C38" i="5"/>
  <c r="W38" i="5" s="1"/>
  <c r="AE38" i="5" s="1"/>
  <c r="AG37" i="5"/>
  <c r="AJ37" i="5" s="1"/>
  <c r="AD37" i="5"/>
  <c r="AC37" i="5"/>
  <c r="Z37" i="5"/>
  <c r="Y37" i="5"/>
  <c r="X37" i="5"/>
  <c r="W37" i="5"/>
  <c r="AE37" i="5" s="1"/>
  <c r="T37" i="5"/>
  <c r="P37" i="5"/>
  <c r="O37" i="5"/>
  <c r="N37" i="5"/>
  <c r="M37" i="5"/>
  <c r="L37" i="5"/>
  <c r="AI37" i="5" s="1"/>
  <c r="K37" i="5"/>
  <c r="J37" i="5"/>
  <c r="I37" i="5"/>
  <c r="H37" i="5"/>
  <c r="AB37" i="5" s="1"/>
  <c r="G37" i="5"/>
  <c r="AA37" i="5" s="1"/>
  <c r="F37" i="5"/>
  <c r="E37" i="5"/>
  <c r="D37" i="5"/>
  <c r="C37" i="5"/>
  <c r="AD36" i="5"/>
  <c r="AC36" i="5"/>
  <c r="T36" i="5"/>
  <c r="Y36" i="5" s="1"/>
  <c r="P36" i="5"/>
  <c r="O36" i="5"/>
  <c r="N36" i="5"/>
  <c r="M36" i="5"/>
  <c r="L36" i="5"/>
  <c r="AI36" i="5" s="1"/>
  <c r="K36" i="5"/>
  <c r="J36" i="5"/>
  <c r="I36" i="5"/>
  <c r="H36" i="5"/>
  <c r="AB36" i="5" s="1"/>
  <c r="G36" i="5"/>
  <c r="AA36" i="5" s="1"/>
  <c r="F36" i="5"/>
  <c r="Z36" i="5" s="1"/>
  <c r="E36" i="5"/>
  <c r="D36" i="5"/>
  <c r="X36" i="5" s="1"/>
  <c r="C36" i="5"/>
  <c r="W36" i="5" s="1"/>
  <c r="AI35" i="5"/>
  <c r="AB35" i="5"/>
  <c r="AA35" i="5"/>
  <c r="X35" i="5"/>
  <c r="W35" i="5"/>
  <c r="T35" i="5"/>
  <c r="P35" i="5"/>
  <c r="O35" i="5"/>
  <c r="N35" i="5"/>
  <c r="AF35" i="5" s="1"/>
  <c r="M35" i="5"/>
  <c r="L35" i="5"/>
  <c r="AG35" i="5" s="1"/>
  <c r="AJ35" i="5" s="1"/>
  <c r="K35" i="5"/>
  <c r="J35" i="5"/>
  <c r="I35" i="5"/>
  <c r="AC35" i="5" s="1"/>
  <c r="H35" i="5"/>
  <c r="G35" i="5"/>
  <c r="F35" i="5"/>
  <c r="Z35" i="5" s="1"/>
  <c r="E35" i="5"/>
  <c r="Y35" i="5" s="1"/>
  <c r="AD35" i="5" s="1"/>
  <c r="D35" i="5"/>
  <c r="C35" i="5"/>
  <c r="AG34" i="5"/>
  <c r="AJ34" i="5" s="1"/>
  <c r="AB34" i="5"/>
  <c r="W34" i="5"/>
  <c r="T34" i="5"/>
  <c r="Y34" i="5" s="1"/>
  <c r="AD34" i="5" s="1"/>
  <c r="P34" i="5"/>
  <c r="O34" i="5"/>
  <c r="N34" i="5"/>
  <c r="M34" i="5"/>
  <c r="L34" i="5"/>
  <c r="AI34" i="5" s="1"/>
  <c r="K34" i="5"/>
  <c r="J34" i="5"/>
  <c r="AH34" i="5" s="1"/>
  <c r="I34" i="5"/>
  <c r="AC34" i="5" s="1"/>
  <c r="H34" i="5"/>
  <c r="G34" i="5"/>
  <c r="AA34" i="5" s="1"/>
  <c r="F34" i="5"/>
  <c r="Z34" i="5" s="1"/>
  <c r="E34" i="5"/>
  <c r="D34" i="5"/>
  <c r="X34" i="5" s="1"/>
  <c r="C34" i="5"/>
  <c r="AD33" i="5"/>
  <c r="AC33" i="5"/>
  <c r="AB33" i="5"/>
  <c r="Y33" i="5"/>
  <c r="T33" i="5"/>
  <c r="P33" i="5"/>
  <c r="O33" i="5"/>
  <c r="N33" i="5"/>
  <c r="M33" i="5"/>
  <c r="L33" i="5"/>
  <c r="K33" i="5"/>
  <c r="J33" i="5"/>
  <c r="I33" i="5"/>
  <c r="H33" i="5"/>
  <c r="G33" i="5"/>
  <c r="AA33" i="5" s="1"/>
  <c r="F33" i="5"/>
  <c r="Z33" i="5" s="1"/>
  <c r="E33" i="5"/>
  <c r="D33" i="5"/>
  <c r="X33" i="5" s="1"/>
  <c r="C33" i="5"/>
  <c r="W33" i="5" s="1"/>
  <c r="AG32" i="5"/>
  <c r="AJ32" i="5" s="1"/>
  <c r="AC32" i="5"/>
  <c r="Z32" i="5"/>
  <c r="Y32" i="5"/>
  <c r="AD32" i="5" s="1"/>
  <c r="T32" i="5"/>
  <c r="P32" i="5"/>
  <c r="O32" i="5"/>
  <c r="N32" i="5"/>
  <c r="M32" i="5"/>
  <c r="L32" i="5"/>
  <c r="AI32" i="5" s="1"/>
  <c r="K32" i="5"/>
  <c r="AH32" i="5" s="1"/>
  <c r="J32" i="5"/>
  <c r="I32" i="5"/>
  <c r="H32" i="5"/>
  <c r="AB32" i="5" s="1"/>
  <c r="G32" i="5"/>
  <c r="AA32" i="5" s="1"/>
  <c r="F32" i="5"/>
  <c r="E32" i="5"/>
  <c r="D32" i="5"/>
  <c r="X32" i="5" s="1"/>
  <c r="C32" i="5"/>
  <c r="W32" i="5" s="1"/>
  <c r="AI31" i="5"/>
  <c r="AB31" i="5"/>
  <c r="AA31" i="5"/>
  <c r="W31" i="5"/>
  <c r="T31" i="5"/>
  <c r="P31" i="5"/>
  <c r="O31" i="5"/>
  <c r="N31" i="5"/>
  <c r="M31" i="5"/>
  <c r="L31" i="5"/>
  <c r="AG31" i="5" s="1"/>
  <c r="AJ31" i="5" s="1"/>
  <c r="K31" i="5"/>
  <c r="J31" i="5"/>
  <c r="I31" i="5"/>
  <c r="AC31" i="5" s="1"/>
  <c r="H31" i="5"/>
  <c r="G31" i="5"/>
  <c r="F31" i="5"/>
  <c r="Z31" i="5" s="1"/>
  <c r="E31" i="5"/>
  <c r="D31" i="5"/>
  <c r="X31" i="5" s="1"/>
  <c r="AE31" i="5" s="1"/>
  <c r="C31" i="5"/>
  <c r="AI30" i="5"/>
  <c r="AG30" i="5"/>
  <c r="AC30" i="5"/>
  <c r="AA30" i="5"/>
  <c r="Z30" i="5"/>
  <c r="X30" i="5"/>
  <c r="T30" i="5"/>
  <c r="P30" i="5"/>
  <c r="O30" i="5"/>
  <c r="N30" i="5"/>
  <c r="M30" i="5"/>
  <c r="L30" i="5"/>
  <c r="K30" i="5"/>
  <c r="J30" i="5"/>
  <c r="AF30" i="5" s="1"/>
  <c r="I30" i="5"/>
  <c r="H30" i="5"/>
  <c r="AB30" i="5" s="1"/>
  <c r="G30" i="5"/>
  <c r="F30" i="5"/>
  <c r="E30" i="5"/>
  <c r="Y30" i="5" s="1"/>
  <c r="AD30" i="5" s="1"/>
  <c r="D30" i="5"/>
  <c r="C30" i="5"/>
  <c r="W30" i="5" s="1"/>
  <c r="AH29" i="5"/>
  <c r="AG29" i="5"/>
  <c r="AJ29" i="5" s="1"/>
  <c r="AD29" i="5"/>
  <c r="AC29" i="5"/>
  <c r="Z29" i="5"/>
  <c r="Y29" i="5"/>
  <c r="X29" i="5"/>
  <c r="W29" i="5"/>
  <c r="AE29" i="5" s="1"/>
  <c r="T29" i="5"/>
  <c r="P29" i="5"/>
  <c r="O29" i="5"/>
  <c r="N29" i="5"/>
  <c r="M29" i="5"/>
  <c r="L29" i="5"/>
  <c r="AI29" i="5" s="1"/>
  <c r="K29" i="5"/>
  <c r="J29" i="5"/>
  <c r="AF29" i="5" s="1"/>
  <c r="I29" i="5"/>
  <c r="H29" i="5"/>
  <c r="AB29" i="5" s="1"/>
  <c r="G29" i="5"/>
  <c r="AA29" i="5" s="1"/>
  <c r="F29" i="5"/>
  <c r="E29" i="5"/>
  <c r="D29" i="5"/>
  <c r="C29" i="5"/>
  <c r="AD28" i="5"/>
  <c r="T28" i="5"/>
  <c r="Y28" i="5" s="1"/>
  <c r="P28" i="5"/>
  <c r="O28" i="5"/>
  <c r="N28" i="5"/>
  <c r="M28" i="5"/>
  <c r="L28" i="5"/>
  <c r="AI28" i="5" s="1"/>
  <c r="K28" i="5"/>
  <c r="J28" i="5"/>
  <c r="I28" i="5"/>
  <c r="AC28" i="5" s="1"/>
  <c r="H28" i="5"/>
  <c r="AB28" i="5" s="1"/>
  <c r="G28" i="5"/>
  <c r="AA28" i="5" s="1"/>
  <c r="F28" i="5"/>
  <c r="Z28" i="5" s="1"/>
  <c r="E28" i="5"/>
  <c r="D28" i="5"/>
  <c r="X28" i="5" s="1"/>
  <c r="C28" i="5"/>
  <c r="W28" i="5" s="1"/>
  <c r="AI27" i="5"/>
  <c r="AB27" i="5"/>
  <c r="AA27" i="5"/>
  <c r="W27" i="5"/>
  <c r="T27" i="5"/>
  <c r="P27" i="5"/>
  <c r="O27" i="5"/>
  <c r="N27" i="5"/>
  <c r="M27" i="5"/>
  <c r="AF27" i="5" s="1"/>
  <c r="L27" i="5"/>
  <c r="AG27" i="5" s="1"/>
  <c r="AJ27" i="5" s="1"/>
  <c r="K27" i="5"/>
  <c r="J27" i="5"/>
  <c r="I27" i="5"/>
  <c r="AC27" i="5" s="1"/>
  <c r="H27" i="5"/>
  <c r="G27" i="5"/>
  <c r="F27" i="5"/>
  <c r="Z27" i="5" s="1"/>
  <c r="E27" i="5"/>
  <c r="Y27" i="5" s="1"/>
  <c r="AD27" i="5" s="1"/>
  <c r="D27" i="5"/>
  <c r="X27" i="5" s="1"/>
  <c r="C27" i="5"/>
  <c r="Z26" i="5"/>
  <c r="T26" i="5"/>
  <c r="P26" i="5"/>
  <c r="O26" i="5"/>
  <c r="N26" i="5"/>
  <c r="M26" i="5"/>
  <c r="AF26" i="5" s="1"/>
  <c r="L26" i="5"/>
  <c r="K26" i="5"/>
  <c r="J26" i="5"/>
  <c r="I26" i="5"/>
  <c r="AC26" i="5" s="1"/>
  <c r="H26" i="5"/>
  <c r="AB26" i="5" s="1"/>
  <c r="G26" i="5"/>
  <c r="AA26" i="5" s="1"/>
  <c r="F26" i="5"/>
  <c r="E26" i="5"/>
  <c r="Y26" i="5" s="1"/>
  <c r="AD26" i="5" s="1"/>
  <c r="D26" i="5"/>
  <c r="X26" i="5" s="1"/>
  <c r="C26" i="5"/>
  <c r="W26" i="5" s="1"/>
  <c r="AF25" i="5"/>
  <c r="AC25" i="5"/>
  <c r="Y25" i="5"/>
  <c r="AD25" i="5" s="1"/>
  <c r="X25" i="5"/>
  <c r="T25" i="5"/>
  <c r="P25" i="5"/>
  <c r="O25" i="5"/>
  <c r="N25" i="5"/>
  <c r="M25" i="5"/>
  <c r="L25" i="5"/>
  <c r="K25" i="5"/>
  <c r="J25" i="5"/>
  <c r="I25" i="5"/>
  <c r="H25" i="5"/>
  <c r="AB25" i="5" s="1"/>
  <c r="G25" i="5"/>
  <c r="AA25" i="5" s="1"/>
  <c r="F25" i="5"/>
  <c r="Z25" i="5" s="1"/>
  <c r="E25" i="5"/>
  <c r="D25" i="5"/>
  <c r="C25" i="5"/>
  <c r="W25" i="5" s="1"/>
  <c r="AI24" i="5"/>
  <c r="AF24" i="5"/>
  <c r="AB24" i="5"/>
  <c r="X24" i="5"/>
  <c r="T24" i="5"/>
  <c r="P24" i="5"/>
  <c r="O24" i="5"/>
  <c r="N24" i="5"/>
  <c r="M24" i="5"/>
  <c r="L24" i="5"/>
  <c r="AG24" i="5" s="1"/>
  <c r="AJ24" i="5" s="1"/>
  <c r="K24" i="5"/>
  <c r="J24" i="5"/>
  <c r="I24" i="5"/>
  <c r="AC24" i="5" s="1"/>
  <c r="H24" i="5"/>
  <c r="G24" i="5"/>
  <c r="AA24" i="5" s="1"/>
  <c r="F24" i="5"/>
  <c r="Z24" i="5" s="1"/>
  <c r="E24" i="5"/>
  <c r="Y24" i="5" s="1"/>
  <c r="AD24" i="5" s="1"/>
  <c r="D24" i="5"/>
  <c r="C24" i="5"/>
  <c r="W24" i="5" s="1"/>
  <c r="AE24" i="5" s="1"/>
  <c r="AI23" i="5"/>
  <c r="AC23" i="5"/>
  <c r="AA23" i="5"/>
  <c r="W23" i="5"/>
  <c r="AE23" i="5" s="1"/>
  <c r="T23" i="5"/>
  <c r="P23" i="5"/>
  <c r="O23" i="5"/>
  <c r="N23" i="5"/>
  <c r="M23" i="5"/>
  <c r="L23" i="5"/>
  <c r="AG23" i="5" s="1"/>
  <c r="AJ23" i="5" s="1"/>
  <c r="K23" i="5"/>
  <c r="J23" i="5"/>
  <c r="I23" i="5"/>
  <c r="H23" i="5"/>
  <c r="AB23" i="5" s="1"/>
  <c r="G23" i="5"/>
  <c r="F23" i="5"/>
  <c r="Z23" i="5" s="1"/>
  <c r="E23" i="5"/>
  <c r="D23" i="5"/>
  <c r="X23" i="5" s="1"/>
  <c r="C23" i="5"/>
  <c r="AB22" i="5"/>
  <c r="Z22" i="5"/>
  <c r="T22" i="5"/>
  <c r="P22" i="5"/>
  <c r="O22" i="5"/>
  <c r="N22" i="5"/>
  <c r="M22" i="5"/>
  <c r="AH22" i="5" s="1"/>
  <c r="L22" i="5"/>
  <c r="AG22" i="5" s="1"/>
  <c r="K22" i="5"/>
  <c r="AF22" i="5" s="1"/>
  <c r="AK22" i="5" s="1"/>
  <c r="J22" i="5"/>
  <c r="I22" i="5"/>
  <c r="AC22" i="5" s="1"/>
  <c r="H22" i="5"/>
  <c r="G22" i="5"/>
  <c r="AA22" i="5" s="1"/>
  <c r="F22" i="5"/>
  <c r="E22" i="5"/>
  <c r="D22" i="5"/>
  <c r="X22" i="5" s="1"/>
  <c r="C22" i="5"/>
  <c r="W22" i="5" s="1"/>
  <c r="AC21" i="5"/>
  <c r="Y21" i="5"/>
  <c r="AD21" i="5" s="1"/>
  <c r="T21" i="5"/>
  <c r="P21" i="5"/>
  <c r="O21" i="5"/>
  <c r="N21" i="5"/>
  <c r="M21" i="5"/>
  <c r="L21" i="5"/>
  <c r="K21" i="5"/>
  <c r="J21" i="5"/>
  <c r="I21" i="5"/>
  <c r="H21" i="5"/>
  <c r="AB21" i="5" s="1"/>
  <c r="G21" i="5"/>
  <c r="AA21" i="5" s="1"/>
  <c r="F21" i="5"/>
  <c r="Z21" i="5" s="1"/>
  <c r="E21" i="5"/>
  <c r="D21" i="5"/>
  <c r="X21" i="5" s="1"/>
  <c r="C21" i="5"/>
  <c r="W21" i="5" s="1"/>
  <c r="AI20" i="5"/>
  <c r="AJ20" i="5" s="1"/>
  <c r="AB20" i="5"/>
  <c r="Z20" i="5"/>
  <c r="X20" i="5"/>
  <c r="T20" i="5"/>
  <c r="P20" i="5"/>
  <c r="O20" i="5"/>
  <c r="N20" i="5"/>
  <c r="M20" i="5"/>
  <c r="L20" i="5"/>
  <c r="AG20" i="5" s="1"/>
  <c r="K20" i="5"/>
  <c r="AF20" i="5" s="1"/>
  <c r="J20" i="5"/>
  <c r="I20" i="5"/>
  <c r="AC20" i="5" s="1"/>
  <c r="H20" i="5"/>
  <c r="G20" i="5"/>
  <c r="AA20" i="5" s="1"/>
  <c r="F20" i="5"/>
  <c r="E20" i="5"/>
  <c r="Y20" i="5" s="1"/>
  <c r="AD20" i="5" s="1"/>
  <c r="D20" i="5"/>
  <c r="C20" i="5"/>
  <c r="W20" i="5" s="1"/>
  <c r="AE20" i="5" s="1"/>
  <c r="AG19" i="5"/>
  <c r="AJ19" i="5" s="1"/>
  <c r="AA19" i="5"/>
  <c r="W19" i="5"/>
  <c r="T19" i="5"/>
  <c r="P19" i="5"/>
  <c r="O19" i="5"/>
  <c r="N19" i="5"/>
  <c r="AH19" i="5" s="1"/>
  <c r="M19" i="5"/>
  <c r="L19" i="5"/>
  <c r="AI19" i="5" s="1"/>
  <c r="K19" i="5"/>
  <c r="J19" i="5"/>
  <c r="I19" i="5"/>
  <c r="AC19" i="5" s="1"/>
  <c r="H19" i="5"/>
  <c r="AB19" i="5" s="1"/>
  <c r="G19" i="5"/>
  <c r="F19" i="5"/>
  <c r="Z19" i="5" s="1"/>
  <c r="E19" i="5"/>
  <c r="Y19" i="5" s="1"/>
  <c r="AD19" i="5" s="1"/>
  <c r="D19" i="5"/>
  <c r="X19" i="5" s="1"/>
  <c r="C19" i="5"/>
  <c r="AH18" i="5"/>
  <c r="AG18" i="5"/>
  <c r="AJ18" i="5" s="1"/>
  <c r="Z18" i="5"/>
  <c r="Y18" i="5"/>
  <c r="AD18" i="5" s="1"/>
  <c r="T18" i="5"/>
  <c r="P18" i="5"/>
  <c r="O18" i="5"/>
  <c r="N18" i="5"/>
  <c r="M18" i="5"/>
  <c r="L18" i="5"/>
  <c r="AI18" i="5" s="1"/>
  <c r="K18" i="5"/>
  <c r="AF18" i="5" s="1"/>
  <c r="AK18" i="5" s="1"/>
  <c r="C18" i="2" s="1"/>
  <c r="J18" i="5"/>
  <c r="I18" i="5"/>
  <c r="AC18" i="5" s="1"/>
  <c r="H18" i="5"/>
  <c r="AB18" i="5" s="1"/>
  <c r="G18" i="5"/>
  <c r="AA18" i="5" s="1"/>
  <c r="F18" i="5"/>
  <c r="E18" i="5"/>
  <c r="D18" i="5"/>
  <c r="X18" i="5" s="1"/>
  <c r="C18" i="5"/>
  <c r="W18" i="5" s="1"/>
  <c r="AE18" i="5" s="1"/>
  <c r="AC17" i="5"/>
  <c r="Y17" i="5"/>
  <c r="AD17" i="5" s="1"/>
  <c r="W17" i="5"/>
  <c r="AE17" i="5" s="1"/>
  <c r="T17" i="5"/>
  <c r="P17" i="5"/>
  <c r="O17" i="5"/>
  <c r="N17" i="5"/>
  <c r="M17" i="5"/>
  <c r="L17" i="5"/>
  <c r="AI17" i="5" s="1"/>
  <c r="K17" i="5"/>
  <c r="J17" i="5"/>
  <c r="I17" i="5"/>
  <c r="H17" i="5"/>
  <c r="AB17" i="5" s="1"/>
  <c r="G17" i="5"/>
  <c r="AA17" i="5" s="1"/>
  <c r="F17" i="5"/>
  <c r="Z17" i="5" s="1"/>
  <c r="E17" i="5"/>
  <c r="D17" i="5"/>
  <c r="X17" i="5" s="1"/>
  <c r="C17" i="5"/>
  <c r="AJ16" i="5"/>
  <c r="AI16" i="5"/>
  <c r="AB16" i="5"/>
  <c r="X16" i="5"/>
  <c r="W16" i="5"/>
  <c r="T16" i="5"/>
  <c r="P16" i="5"/>
  <c r="O16" i="5"/>
  <c r="N16" i="5"/>
  <c r="M16" i="5"/>
  <c r="L16" i="5"/>
  <c r="AG16" i="5" s="1"/>
  <c r="K16" i="5"/>
  <c r="J16" i="5"/>
  <c r="I16" i="5"/>
  <c r="AC16" i="5" s="1"/>
  <c r="H16" i="5"/>
  <c r="G16" i="5"/>
  <c r="AA16" i="5" s="1"/>
  <c r="F16" i="5"/>
  <c r="Z16" i="5" s="1"/>
  <c r="E16" i="5"/>
  <c r="Y16" i="5" s="1"/>
  <c r="AD16" i="5" s="1"/>
  <c r="D16" i="5"/>
  <c r="C16" i="5"/>
  <c r="AI15" i="5"/>
  <c r="AA15" i="5"/>
  <c r="Z15" i="5"/>
  <c r="W15" i="5"/>
  <c r="T15" i="5"/>
  <c r="P15" i="5"/>
  <c r="O15" i="5"/>
  <c r="N15" i="5"/>
  <c r="M15" i="5"/>
  <c r="L15" i="5"/>
  <c r="AG15" i="5" s="1"/>
  <c r="AJ15" i="5" s="1"/>
  <c r="K15" i="5"/>
  <c r="J15" i="5"/>
  <c r="I15" i="5"/>
  <c r="AC15" i="5" s="1"/>
  <c r="H15" i="5"/>
  <c r="AB15" i="5" s="1"/>
  <c r="G15" i="5"/>
  <c r="F15" i="5"/>
  <c r="E15" i="5"/>
  <c r="D15" i="5"/>
  <c r="X15" i="5" s="1"/>
  <c r="C15" i="5"/>
  <c r="AC14" i="5"/>
  <c r="AB14" i="5"/>
  <c r="Z14" i="5"/>
  <c r="T14" i="5"/>
  <c r="P14" i="5"/>
  <c r="O14" i="5"/>
  <c r="N14" i="5"/>
  <c r="M14" i="5"/>
  <c r="L14" i="5"/>
  <c r="AI14" i="5" s="1"/>
  <c r="K14" i="5"/>
  <c r="J14" i="5"/>
  <c r="I14" i="5"/>
  <c r="H14" i="5"/>
  <c r="G14" i="5"/>
  <c r="AA14" i="5" s="1"/>
  <c r="F14" i="5"/>
  <c r="E14" i="5"/>
  <c r="Y14" i="5" s="1"/>
  <c r="AD14" i="5" s="1"/>
  <c r="D14" i="5"/>
  <c r="X14" i="5" s="1"/>
  <c r="C14" i="5"/>
  <c r="W14" i="5" s="1"/>
  <c r="AG13" i="5"/>
  <c r="AC13" i="5"/>
  <c r="AB13" i="5"/>
  <c r="Y13" i="5"/>
  <c r="AD13" i="5" s="1"/>
  <c r="W13" i="5"/>
  <c r="T13" i="5"/>
  <c r="P13" i="5"/>
  <c r="O13" i="5"/>
  <c r="N13" i="5"/>
  <c r="M13" i="5"/>
  <c r="L13" i="5"/>
  <c r="AI13" i="5" s="1"/>
  <c r="K13" i="5"/>
  <c r="J13" i="5"/>
  <c r="I13" i="5"/>
  <c r="H13" i="5"/>
  <c r="G13" i="5"/>
  <c r="AA13" i="5" s="1"/>
  <c r="F13" i="5"/>
  <c r="Z13" i="5" s="1"/>
  <c r="E13" i="5"/>
  <c r="D13" i="5"/>
  <c r="X13" i="5" s="1"/>
  <c r="AE13" i="5" s="1"/>
  <c r="C13" i="5"/>
  <c r="AI12" i="5"/>
  <c r="AB12" i="5"/>
  <c r="AA12" i="5"/>
  <c r="X12" i="5"/>
  <c r="T12" i="5"/>
  <c r="P12" i="5"/>
  <c r="O12" i="5"/>
  <c r="N12" i="5"/>
  <c r="M12" i="5"/>
  <c r="AF12" i="5" s="1"/>
  <c r="L12" i="5"/>
  <c r="AG12" i="5" s="1"/>
  <c r="AJ12" i="5" s="1"/>
  <c r="K12" i="5"/>
  <c r="J12" i="5"/>
  <c r="I12" i="5"/>
  <c r="AC12" i="5" s="1"/>
  <c r="H12" i="5"/>
  <c r="G12" i="5"/>
  <c r="F12" i="5"/>
  <c r="Z12" i="5" s="1"/>
  <c r="E12" i="5"/>
  <c r="Y12" i="5" s="1"/>
  <c r="AD12" i="5" s="1"/>
  <c r="D12" i="5"/>
  <c r="C12" i="5"/>
  <c r="W12" i="5" s="1"/>
  <c r="AC11" i="5"/>
  <c r="AA11" i="5"/>
  <c r="Z11" i="5"/>
  <c r="W11" i="5"/>
  <c r="T11" i="5"/>
  <c r="P11" i="5"/>
  <c r="O11" i="5"/>
  <c r="N11" i="5"/>
  <c r="M11" i="5"/>
  <c r="L11" i="5"/>
  <c r="K11" i="5"/>
  <c r="J11" i="5"/>
  <c r="I11" i="5"/>
  <c r="H11" i="5"/>
  <c r="AB11" i="5" s="1"/>
  <c r="G11" i="5"/>
  <c r="F11" i="5"/>
  <c r="E11" i="5"/>
  <c r="Y11" i="5" s="1"/>
  <c r="AD11" i="5" s="1"/>
  <c r="D11" i="5"/>
  <c r="X11" i="5" s="1"/>
  <c r="C11" i="5"/>
  <c r="AJ10" i="5"/>
  <c r="AG10" i="5"/>
  <c r="T10" i="5"/>
  <c r="Y10" i="5" s="1"/>
  <c r="AD10" i="5" s="1"/>
  <c r="P10" i="5"/>
  <c r="O10" i="5"/>
  <c r="N10" i="5"/>
  <c r="M10" i="5"/>
  <c r="L10" i="5"/>
  <c r="AI10" i="5" s="1"/>
  <c r="K10" i="5"/>
  <c r="J10" i="5"/>
  <c r="I10" i="5"/>
  <c r="AC10" i="5" s="1"/>
  <c r="H10" i="5"/>
  <c r="AB10" i="5" s="1"/>
  <c r="G10" i="5"/>
  <c r="AA10" i="5" s="1"/>
  <c r="F10" i="5"/>
  <c r="Z10" i="5" s="1"/>
  <c r="E10" i="5"/>
  <c r="D10" i="5"/>
  <c r="X10" i="5" s="1"/>
  <c r="C10" i="5"/>
  <c r="W10" i="5" s="1"/>
  <c r="AC9" i="5"/>
  <c r="AA9" i="5"/>
  <c r="T9" i="5"/>
  <c r="P9" i="5"/>
  <c r="O9" i="5"/>
  <c r="N9" i="5"/>
  <c r="M9" i="5"/>
  <c r="AH9" i="5" s="1"/>
  <c r="L9" i="5"/>
  <c r="K9" i="5"/>
  <c r="J9" i="5"/>
  <c r="I9" i="5"/>
  <c r="H9" i="5"/>
  <c r="AB9" i="5" s="1"/>
  <c r="G9" i="5"/>
  <c r="F9" i="5"/>
  <c r="Z9" i="5" s="1"/>
  <c r="E9" i="5"/>
  <c r="Y9" i="5" s="1"/>
  <c r="AD9" i="5" s="1"/>
  <c r="D9" i="5"/>
  <c r="X9" i="5" s="1"/>
  <c r="C9" i="5"/>
  <c r="W9" i="5" s="1"/>
  <c r="AI8" i="5"/>
  <c r="AG8" i="5"/>
  <c r="AB8" i="5"/>
  <c r="Z8" i="5"/>
  <c r="X8" i="5"/>
  <c r="T8" i="5"/>
  <c r="P8" i="5"/>
  <c r="O8" i="5"/>
  <c r="N8" i="5"/>
  <c r="M8" i="5"/>
  <c r="L8" i="5"/>
  <c r="K8" i="5"/>
  <c r="J8" i="5"/>
  <c r="I8" i="5"/>
  <c r="AC8" i="5" s="1"/>
  <c r="H8" i="5"/>
  <c r="G8" i="5"/>
  <c r="AA8" i="5" s="1"/>
  <c r="F8" i="5"/>
  <c r="E8" i="5"/>
  <c r="Y8" i="5" s="1"/>
  <c r="AD8" i="5" s="1"/>
  <c r="D8" i="5"/>
  <c r="C8" i="5"/>
  <c r="W8" i="5" s="1"/>
  <c r="AE8" i="5" s="1"/>
  <c r="AC7" i="5"/>
  <c r="AA7" i="5"/>
  <c r="W7" i="5"/>
  <c r="T7" i="5"/>
  <c r="P7" i="5"/>
  <c r="O7" i="5"/>
  <c r="N7" i="5"/>
  <c r="M7" i="5"/>
  <c r="L7" i="5"/>
  <c r="AG7" i="5" s="1"/>
  <c r="K7" i="5"/>
  <c r="J7" i="5"/>
  <c r="I7" i="5"/>
  <c r="H7" i="5"/>
  <c r="AB7" i="5" s="1"/>
  <c r="G7" i="5"/>
  <c r="F7" i="5"/>
  <c r="Z7" i="5" s="1"/>
  <c r="E7" i="5"/>
  <c r="Y7" i="5" s="1"/>
  <c r="AD7" i="5" s="1"/>
  <c r="D7" i="5"/>
  <c r="X7" i="5" s="1"/>
  <c r="C7" i="5"/>
  <c r="AH6" i="5"/>
  <c r="AC6" i="5"/>
  <c r="Z6" i="5"/>
  <c r="Y6" i="5"/>
  <c r="AD6" i="5" s="1"/>
  <c r="X6" i="5"/>
  <c r="T6" i="5"/>
  <c r="P6" i="5"/>
  <c r="O6" i="5"/>
  <c r="N6" i="5"/>
  <c r="M6" i="5"/>
  <c r="L6" i="5"/>
  <c r="AI6" i="5" s="1"/>
  <c r="K6" i="5"/>
  <c r="J6" i="5"/>
  <c r="AF6" i="5" s="1"/>
  <c r="AK6" i="5" s="1"/>
  <c r="I6" i="5"/>
  <c r="H6" i="5"/>
  <c r="AB6" i="5" s="1"/>
  <c r="G6" i="5"/>
  <c r="AA6" i="5" s="1"/>
  <c r="F6" i="5"/>
  <c r="E6" i="5"/>
  <c r="D6" i="5"/>
  <c r="C6" i="5"/>
  <c r="W6" i="5" s="1"/>
  <c r="AI5" i="5"/>
  <c r="AG5" i="5"/>
  <c r="AA5" i="5"/>
  <c r="Y5" i="5"/>
  <c r="AD5" i="5" s="1"/>
  <c r="W5" i="5"/>
  <c r="T5" i="5"/>
  <c r="P5" i="5"/>
  <c r="O5" i="5"/>
  <c r="N5" i="5"/>
  <c r="AF5" i="5" s="1"/>
  <c r="M5" i="5"/>
  <c r="L5" i="5"/>
  <c r="K5" i="5"/>
  <c r="J5" i="5"/>
  <c r="I5" i="5"/>
  <c r="AC5" i="5" s="1"/>
  <c r="H5" i="5"/>
  <c r="AB5" i="5" s="1"/>
  <c r="G5" i="5"/>
  <c r="F5" i="5"/>
  <c r="Z5" i="5" s="1"/>
  <c r="E5" i="5"/>
  <c r="D5" i="5"/>
  <c r="X5" i="5" s="1"/>
  <c r="C5" i="5"/>
  <c r="AI4" i="5"/>
  <c r="AB4" i="5"/>
  <c r="Z4" i="5"/>
  <c r="X4" i="5"/>
  <c r="W4" i="5"/>
  <c r="AE5" i="5" s="1"/>
  <c r="T4" i="5"/>
  <c r="P4" i="5"/>
  <c r="O4" i="5"/>
  <c r="N4" i="5"/>
  <c r="M4" i="5"/>
  <c r="L4" i="5"/>
  <c r="AG4" i="5" s="1"/>
  <c r="AJ4" i="5" s="1"/>
  <c r="K4" i="5"/>
  <c r="J4" i="5"/>
  <c r="AH4" i="5" s="1"/>
  <c r="I4" i="5"/>
  <c r="AC4" i="5" s="1"/>
  <c r="H4" i="5"/>
  <c r="G4" i="5"/>
  <c r="AA4" i="5" s="1"/>
  <c r="F4" i="5"/>
  <c r="E4" i="5"/>
  <c r="D4" i="5"/>
  <c r="C4" i="5"/>
  <c r="A53" i="4"/>
  <c r="A52" i="4"/>
  <c r="AE51" i="4"/>
  <c r="AC51" i="4"/>
  <c r="S51" i="4"/>
  <c r="Z51" i="4" s="1"/>
  <c r="R51" i="4"/>
  <c r="Y51" i="4" s="1"/>
  <c r="O51" i="4"/>
  <c r="V51" i="4" s="1"/>
  <c r="M51" i="4"/>
  <c r="T51" i="4" s="1"/>
  <c r="AA51" i="4" s="1"/>
  <c r="K51" i="4"/>
  <c r="I51" i="4"/>
  <c r="P51" i="4" s="1"/>
  <c r="W51" i="4" s="1"/>
  <c r="AD51" i="4" s="1"/>
  <c r="H51" i="4"/>
  <c r="G51" i="4"/>
  <c r="N51" i="4" s="1"/>
  <c r="U51" i="4" s="1"/>
  <c r="AB51" i="4" s="1"/>
  <c r="F51" i="4"/>
  <c r="E51" i="4"/>
  <c r="L51" i="4" s="1"/>
  <c r="D51" i="4"/>
  <c r="C51" i="4"/>
  <c r="J51" i="4" s="1"/>
  <c r="Q51" i="4" s="1"/>
  <c r="X51" i="4" s="1"/>
  <c r="AF51" i="4" s="1"/>
  <c r="B51" i="3" s="1"/>
  <c r="AE50" i="4"/>
  <c r="AA50" i="4"/>
  <c r="Y50" i="4"/>
  <c r="X50" i="4"/>
  <c r="M50" i="4"/>
  <c r="T50" i="4" s="1"/>
  <c r="K50" i="4"/>
  <c r="R50" i="4" s="1"/>
  <c r="I50" i="4"/>
  <c r="P50" i="4" s="1"/>
  <c r="W50" i="4" s="1"/>
  <c r="AD50" i="4" s="1"/>
  <c r="H50" i="4"/>
  <c r="O50" i="4" s="1"/>
  <c r="V50" i="4" s="1"/>
  <c r="AC50" i="4" s="1"/>
  <c r="G50" i="4"/>
  <c r="N50" i="4" s="1"/>
  <c r="U50" i="4" s="1"/>
  <c r="AB50" i="4" s="1"/>
  <c r="F50" i="4"/>
  <c r="E50" i="4"/>
  <c r="L50" i="4" s="1"/>
  <c r="S50" i="4" s="1"/>
  <c r="Z50" i="4" s="1"/>
  <c r="D50" i="4"/>
  <c r="C50" i="4"/>
  <c r="J50" i="4" s="1"/>
  <c r="Q50" i="4" s="1"/>
  <c r="AE49" i="4"/>
  <c r="AD49" i="4"/>
  <c r="Q49" i="4"/>
  <c r="X49" i="4" s="1"/>
  <c r="O49" i="4"/>
  <c r="V49" i="4" s="1"/>
  <c r="AC49" i="4" s="1"/>
  <c r="N49" i="4"/>
  <c r="U49" i="4" s="1"/>
  <c r="AB49" i="4" s="1"/>
  <c r="K49" i="4"/>
  <c r="R49" i="4" s="1"/>
  <c r="Y49" i="4" s="1"/>
  <c r="I49" i="4"/>
  <c r="P49" i="4" s="1"/>
  <c r="W49" i="4" s="1"/>
  <c r="H49" i="4"/>
  <c r="G49" i="4"/>
  <c r="F49" i="4"/>
  <c r="M49" i="4" s="1"/>
  <c r="T49" i="4" s="1"/>
  <c r="AA49" i="4" s="1"/>
  <c r="E49" i="4"/>
  <c r="L49" i="4" s="1"/>
  <c r="S49" i="4" s="1"/>
  <c r="Z49" i="4" s="1"/>
  <c r="D49" i="4"/>
  <c r="C49" i="4"/>
  <c r="J49" i="4" s="1"/>
  <c r="AE48" i="4"/>
  <c r="AC48" i="4"/>
  <c r="U48" i="4"/>
  <c r="AB48" i="4" s="1"/>
  <c r="T48" i="4"/>
  <c r="AA48" i="4" s="1"/>
  <c r="S48" i="4"/>
  <c r="Z48" i="4" s="1"/>
  <c r="O48" i="4"/>
  <c r="V48" i="4" s="1"/>
  <c r="M48" i="4"/>
  <c r="L48" i="4"/>
  <c r="K48" i="4"/>
  <c r="R48" i="4" s="1"/>
  <c r="Y48" i="4" s="1"/>
  <c r="I48" i="4"/>
  <c r="P48" i="4" s="1"/>
  <c r="W48" i="4" s="1"/>
  <c r="AD48" i="4" s="1"/>
  <c r="H48" i="4"/>
  <c r="G48" i="4"/>
  <c r="N48" i="4" s="1"/>
  <c r="F48" i="4"/>
  <c r="E48" i="4"/>
  <c r="D48" i="4"/>
  <c r="C48" i="4"/>
  <c r="J48" i="4" s="1"/>
  <c r="Q48" i="4" s="1"/>
  <c r="X48" i="4" s="1"/>
  <c r="AE47" i="4"/>
  <c r="AC47" i="4"/>
  <c r="AA47" i="4"/>
  <c r="Z47" i="4"/>
  <c r="Y47" i="4"/>
  <c r="O47" i="4"/>
  <c r="V47" i="4" s="1"/>
  <c r="M47" i="4"/>
  <c r="T47" i="4" s="1"/>
  <c r="K47" i="4"/>
  <c r="R47" i="4" s="1"/>
  <c r="J47" i="4"/>
  <c r="Q47" i="4" s="1"/>
  <c r="X47" i="4" s="1"/>
  <c r="I47" i="4"/>
  <c r="P47" i="4" s="1"/>
  <c r="W47" i="4" s="1"/>
  <c r="AD47" i="4" s="1"/>
  <c r="H47" i="4"/>
  <c r="G47" i="4"/>
  <c r="N47" i="4" s="1"/>
  <c r="U47" i="4" s="1"/>
  <c r="AB47" i="4" s="1"/>
  <c r="F47" i="4"/>
  <c r="E47" i="4"/>
  <c r="L47" i="4" s="1"/>
  <c r="S47" i="4" s="1"/>
  <c r="D47" i="4"/>
  <c r="C47" i="4"/>
  <c r="AE46" i="4"/>
  <c r="W46" i="4"/>
  <c r="AD46" i="4" s="1"/>
  <c r="Q46" i="4"/>
  <c r="X46" i="4" s="1"/>
  <c r="P46" i="4"/>
  <c r="M46" i="4"/>
  <c r="T46" i="4" s="1"/>
  <c r="AA46" i="4" s="1"/>
  <c r="K46" i="4"/>
  <c r="R46" i="4" s="1"/>
  <c r="Y46" i="4" s="1"/>
  <c r="I46" i="4"/>
  <c r="H46" i="4"/>
  <c r="O46" i="4" s="1"/>
  <c r="V46" i="4" s="1"/>
  <c r="AC46" i="4" s="1"/>
  <c r="G46" i="4"/>
  <c r="N46" i="4" s="1"/>
  <c r="U46" i="4" s="1"/>
  <c r="AB46" i="4" s="1"/>
  <c r="F46" i="4"/>
  <c r="E46" i="4"/>
  <c r="L46" i="4" s="1"/>
  <c r="S46" i="4" s="1"/>
  <c r="Z46" i="4" s="1"/>
  <c r="D46" i="4"/>
  <c r="C46" i="4"/>
  <c r="J46" i="4" s="1"/>
  <c r="AE45" i="4"/>
  <c r="Y45" i="4"/>
  <c r="W45" i="4"/>
  <c r="AD45" i="4" s="1"/>
  <c r="V45" i="4"/>
  <c r="AC45" i="4" s="1"/>
  <c r="O45" i="4"/>
  <c r="N45" i="4"/>
  <c r="U45" i="4" s="1"/>
  <c r="AB45" i="4" s="1"/>
  <c r="M45" i="4"/>
  <c r="T45" i="4" s="1"/>
  <c r="AA45" i="4" s="1"/>
  <c r="K45" i="4"/>
  <c r="R45" i="4" s="1"/>
  <c r="I45" i="4"/>
  <c r="P45" i="4" s="1"/>
  <c r="H45" i="4"/>
  <c r="G45" i="4"/>
  <c r="F45" i="4"/>
  <c r="E45" i="4"/>
  <c r="L45" i="4" s="1"/>
  <c r="S45" i="4" s="1"/>
  <c r="Z45" i="4" s="1"/>
  <c r="D45" i="4"/>
  <c r="C45" i="4"/>
  <c r="J45" i="4" s="1"/>
  <c r="Q45" i="4" s="1"/>
  <c r="X45" i="4" s="1"/>
  <c r="AE44" i="4"/>
  <c r="AB44" i="4"/>
  <c r="O44" i="4"/>
  <c r="V44" i="4" s="1"/>
  <c r="AC44" i="4" s="1"/>
  <c r="M44" i="4"/>
  <c r="T44" i="4" s="1"/>
  <c r="AA44" i="4" s="1"/>
  <c r="I44" i="4"/>
  <c r="P44" i="4" s="1"/>
  <c r="W44" i="4" s="1"/>
  <c r="AD44" i="4" s="1"/>
  <c r="H44" i="4"/>
  <c r="G44" i="4"/>
  <c r="N44" i="4" s="1"/>
  <c r="U44" i="4" s="1"/>
  <c r="F44" i="4"/>
  <c r="E44" i="4"/>
  <c r="L44" i="4" s="1"/>
  <c r="S44" i="4" s="1"/>
  <c r="Z44" i="4" s="1"/>
  <c r="D44" i="4"/>
  <c r="K44" i="4" s="1"/>
  <c r="R44" i="4" s="1"/>
  <c r="Y44" i="4" s="1"/>
  <c r="C44" i="4"/>
  <c r="J44" i="4" s="1"/>
  <c r="Q44" i="4" s="1"/>
  <c r="X44" i="4" s="1"/>
  <c r="AF44" i="4" s="1"/>
  <c r="B44" i="3" s="1"/>
  <c r="AE43" i="4"/>
  <c r="S43" i="4"/>
  <c r="Z43" i="4" s="1"/>
  <c r="R43" i="4"/>
  <c r="Y43" i="4" s="1"/>
  <c r="O43" i="4"/>
  <c r="V43" i="4" s="1"/>
  <c r="AC43" i="4" s="1"/>
  <c r="M43" i="4"/>
  <c r="T43" i="4" s="1"/>
  <c r="AA43" i="4" s="1"/>
  <c r="K43" i="4"/>
  <c r="J43" i="4"/>
  <c r="Q43" i="4" s="1"/>
  <c r="X43" i="4" s="1"/>
  <c r="I43" i="4"/>
  <c r="P43" i="4" s="1"/>
  <c r="W43" i="4" s="1"/>
  <c r="AD43" i="4" s="1"/>
  <c r="H43" i="4"/>
  <c r="G43" i="4"/>
  <c r="N43" i="4" s="1"/>
  <c r="U43" i="4" s="1"/>
  <c r="AB43" i="4" s="1"/>
  <c r="F43" i="4"/>
  <c r="E43" i="4"/>
  <c r="L43" i="4" s="1"/>
  <c r="D43" i="4"/>
  <c r="C43" i="4"/>
  <c r="AE42" i="4"/>
  <c r="P42" i="4"/>
  <c r="W42" i="4" s="1"/>
  <c r="AD42" i="4" s="1"/>
  <c r="O42" i="4"/>
  <c r="V42" i="4" s="1"/>
  <c r="AC42" i="4" s="1"/>
  <c r="M42" i="4"/>
  <c r="T42" i="4" s="1"/>
  <c r="AA42" i="4" s="1"/>
  <c r="K42" i="4"/>
  <c r="R42" i="4" s="1"/>
  <c r="Y42" i="4" s="1"/>
  <c r="I42" i="4"/>
  <c r="H42" i="4"/>
  <c r="G42" i="4"/>
  <c r="N42" i="4" s="1"/>
  <c r="U42" i="4" s="1"/>
  <c r="AB42" i="4" s="1"/>
  <c r="F42" i="4"/>
  <c r="E42" i="4"/>
  <c r="L42" i="4" s="1"/>
  <c r="S42" i="4" s="1"/>
  <c r="Z42" i="4" s="1"/>
  <c r="D42" i="4"/>
  <c r="C42" i="4"/>
  <c r="J42" i="4" s="1"/>
  <c r="Q42" i="4" s="1"/>
  <c r="X42" i="4" s="1"/>
  <c r="AE41" i="4"/>
  <c r="V41" i="4"/>
  <c r="AC41" i="4" s="1"/>
  <c r="Q41" i="4"/>
  <c r="X41" i="4" s="1"/>
  <c r="O41" i="4"/>
  <c r="K41" i="4"/>
  <c r="R41" i="4" s="1"/>
  <c r="Y41" i="4" s="1"/>
  <c r="I41" i="4"/>
  <c r="P41" i="4" s="1"/>
  <c r="W41" i="4" s="1"/>
  <c r="AD41" i="4" s="1"/>
  <c r="H41" i="4"/>
  <c r="G41" i="4"/>
  <c r="N41" i="4" s="1"/>
  <c r="U41" i="4" s="1"/>
  <c r="AB41" i="4" s="1"/>
  <c r="F41" i="4"/>
  <c r="M41" i="4" s="1"/>
  <c r="T41" i="4" s="1"/>
  <c r="AA41" i="4" s="1"/>
  <c r="E41" i="4"/>
  <c r="L41" i="4" s="1"/>
  <c r="S41" i="4" s="1"/>
  <c r="Z41" i="4" s="1"/>
  <c r="D41" i="4"/>
  <c r="C41" i="4"/>
  <c r="J41" i="4" s="1"/>
  <c r="AE40" i="4"/>
  <c r="W40" i="4"/>
  <c r="V40" i="4"/>
  <c r="R40" i="4"/>
  <c r="Y40" i="4" s="1"/>
  <c r="P40" i="4"/>
  <c r="L40" i="4"/>
  <c r="S40" i="4" s="1"/>
  <c r="J40" i="4"/>
  <c r="Q40" i="4" s="1"/>
  <c r="X40" i="4" s="1"/>
  <c r="I40" i="4"/>
  <c r="H40" i="4"/>
  <c r="O40" i="4" s="1"/>
  <c r="G40" i="4"/>
  <c r="N40" i="4" s="1"/>
  <c r="U40" i="4" s="1"/>
  <c r="F40" i="4"/>
  <c r="M40" i="4" s="1"/>
  <c r="T40" i="4" s="1"/>
  <c r="E40" i="4"/>
  <c r="D40" i="4"/>
  <c r="K40" i="4" s="1"/>
  <c r="C40" i="4"/>
  <c r="AE39" i="4"/>
  <c r="P39" i="4"/>
  <c r="W39" i="4" s="1"/>
  <c r="AD39" i="4" s="1"/>
  <c r="N39" i="4"/>
  <c r="U39" i="4" s="1"/>
  <c r="AB39" i="4" s="1"/>
  <c r="J39" i="4"/>
  <c r="Q39" i="4" s="1"/>
  <c r="X39" i="4" s="1"/>
  <c r="I39" i="4"/>
  <c r="H39" i="4"/>
  <c r="O39" i="4" s="1"/>
  <c r="V39" i="4" s="1"/>
  <c r="AC39" i="4" s="1"/>
  <c r="G39" i="4"/>
  <c r="F39" i="4"/>
  <c r="M39" i="4" s="1"/>
  <c r="T39" i="4" s="1"/>
  <c r="AA39" i="4" s="1"/>
  <c r="E39" i="4"/>
  <c r="L39" i="4" s="1"/>
  <c r="S39" i="4" s="1"/>
  <c r="Z39" i="4" s="1"/>
  <c r="D39" i="4"/>
  <c r="K39" i="4" s="1"/>
  <c r="R39" i="4" s="1"/>
  <c r="Y39" i="4" s="1"/>
  <c r="C39" i="4"/>
  <c r="AE38" i="4"/>
  <c r="T38" i="4"/>
  <c r="AA38" i="4" s="1"/>
  <c r="S38" i="4"/>
  <c r="Z38" i="4" s="1"/>
  <c r="P38" i="4"/>
  <c r="W38" i="4" s="1"/>
  <c r="AD38" i="4" s="1"/>
  <c r="N38" i="4"/>
  <c r="U38" i="4" s="1"/>
  <c r="AB38" i="4" s="1"/>
  <c r="L38" i="4"/>
  <c r="K38" i="4"/>
  <c r="R38" i="4" s="1"/>
  <c r="Y38" i="4" s="1"/>
  <c r="J38" i="4"/>
  <c r="Q38" i="4" s="1"/>
  <c r="X38" i="4" s="1"/>
  <c r="I38" i="4"/>
  <c r="H38" i="4"/>
  <c r="O38" i="4" s="1"/>
  <c r="V38" i="4" s="1"/>
  <c r="AC38" i="4" s="1"/>
  <c r="G38" i="4"/>
  <c r="F38" i="4"/>
  <c r="M38" i="4" s="1"/>
  <c r="E38" i="4"/>
  <c r="D38" i="4"/>
  <c r="C38" i="4"/>
  <c r="AE37" i="4"/>
  <c r="AB37" i="4"/>
  <c r="R37" i="4"/>
  <c r="Y37" i="4" s="1"/>
  <c r="Q37" i="4"/>
  <c r="X37" i="4" s="1"/>
  <c r="P37" i="4"/>
  <c r="W37" i="4" s="1"/>
  <c r="AD37" i="4" s="1"/>
  <c r="N37" i="4"/>
  <c r="U37" i="4" s="1"/>
  <c r="L37" i="4"/>
  <c r="S37" i="4" s="1"/>
  <c r="Z37" i="4" s="1"/>
  <c r="J37" i="4"/>
  <c r="I37" i="4"/>
  <c r="H37" i="4"/>
  <c r="O37" i="4" s="1"/>
  <c r="V37" i="4" s="1"/>
  <c r="AC37" i="4" s="1"/>
  <c r="G37" i="4"/>
  <c r="F37" i="4"/>
  <c r="M37" i="4" s="1"/>
  <c r="T37" i="4" s="1"/>
  <c r="AA37" i="4" s="1"/>
  <c r="E37" i="4"/>
  <c r="D37" i="4"/>
  <c r="K37" i="4" s="1"/>
  <c r="C37" i="4"/>
  <c r="AE36" i="4"/>
  <c r="AB36" i="4"/>
  <c r="Z36" i="4"/>
  <c r="X36" i="4"/>
  <c r="W36" i="4"/>
  <c r="AD36" i="4" s="1"/>
  <c r="P36" i="4"/>
  <c r="O36" i="4"/>
  <c r="V36" i="4" s="1"/>
  <c r="AC36" i="4" s="1"/>
  <c r="N36" i="4"/>
  <c r="U36" i="4" s="1"/>
  <c r="L36" i="4"/>
  <c r="S36" i="4" s="1"/>
  <c r="J36" i="4"/>
  <c r="Q36" i="4" s="1"/>
  <c r="I36" i="4"/>
  <c r="H36" i="4"/>
  <c r="G36" i="4"/>
  <c r="F36" i="4"/>
  <c r="M36" i="4" s="1"/>
  <c r="T36" i="4" s="1"/>
  <c r="AA36" i="4" s="1"/>
  <c r="E36" i="4"/>
  <c r="D36" i="4"/>
  <c r="K36" i="4" s="1"/>
  <c r="R36" i="4" s="1"/>
  <c r="Y36" i="4" s="1"/>
  <c r="C36" i="4"/>
  <c r="AE35" i="4"/>
  <c r="AB35" i="4"/>
  <c r="V35" i="4"/>
  <c r="AC35" i="4" s="1"/>
  <c r="P35" i="4"/>
  <c r="W35" i="4" s="1"/>
  <c r="AD35" i="4" s="1"/>
  <c r="N35" i="4"/>
  <c r="U35" i="4" s="1"/>
  <c r="M35" i="4"/>
  <c r="T35" i="4" s="1"/>
  <c r="AA35" i="4" s="1"/>
  <c r="L35" i="4"/>
  <c r="S35" i="4" s="1"/>
  <c r="Z35" i="4" s="1"/>
  <c r="J35" i="4"/>
  <c r="Q35" i="4" s="1"/>
  <c r="X35" i="4" s="1"/>
  <c r="I35" i="4"/>
  <c r="H35" i="4"/>
  <c r="O35" i="4" s="1"/>
  <c r="G35" i="4"/>
  <c r="F35" i="4"/>
  <c r="E35" i="4"/>
  <c r="D35" i="4"/>
  <c r="K35" i="4" s="1"/>
  <c r="R35" i="4" s="1"/>
  <c r="Y35" i="4" s="1"/>
  <c r="C35" i="4"/>
  <c r="AF34" i="4"/>
  <c r="B34" i="3" s="1"/>
  <c r="AE34" i="4"/>
  <c r="T34" i="4"/>
  <c r="AA34" i="4" s="1"/>
  <c r="S34" i="4"/>
  <c r="Z34" i="4" s="1"/>
  <c r="P34" i="4"/>
  <c r="W34" i="4" s="1"/>
  <c r="AD34" i="4" s="1"/>
  <c r="N34" i="4"/>
  <c r="U34" i="4" s="1"/>
  <c r="AB34" i="4" s="1"/>
  <c r="L34" i="4"/>
  <c r="I34" i="4"/>
  <c r="H34" i="4"/>
  <c r="O34" i="4" s="1"/>
  <c r="V34" i="4" s="1"/>
  <c r="AC34" i="4" s="1"/>
  <c r="G34" i="4"/>
  <c r="F34" i="4"/>
  <c r="M34" i="4" s="1"/>
  <c r="E34" i="4"/>
  <c r="D34" i="4"/>
  <c r="K34" i="4" s="1"/>
  <c r="R34" i="4" s="1"/>
  <c r="Y34" i="4" s="1"/>
  <c r="C34" i="4"/>
  <c r="J34" i="4" s="1"/>
  <c r="Q34" i="4" s="1"/>
  <c r="X34" i="4" s="1"/>
  <c r="AE33" i="4"/>
  <c r="W33" i="4"/>
  <c r="U33" i="4"/>
  <c r="AB33" i="4" s="1"/>
  <c r="S33" i="4"/>
  <c r="Z33" i="4" s="1"/>
  <c r="Q33" i="4"/>
  <c r="X33" i="4" s="1"/>
  <c r="M33" i="4"/>
  <c r="T33" i="4" s="1"/>
  <c r="AA33" i="4" s="1"/>
  <c r="K33" i="4"/>
  <c r="R33" i="4" s="1"/>
  <c r="Y33" i="4" s="1"/>
  <c r="I33" i="4"/>
  <c r="P33" i="4" s="1"/>
  <c r="H33" i="4"/>
  <c r="O33" i="4" s="1"/>
  <c r="V33" i="4" s="1"/>
  <c r="AC33" i="4" s="1"/>
  <c r="G33" i="4"/>
  <c r="N33" i="4" s="1"/>
  <c r="F33" i="4"/>
  <c r="E33" i="4"/>
  <c r="L33" i="4" s="1"/>
  <c r="D33" i="4"/>
  <c r="C33" i="4"/>
  <c r="J33" i="4" s="1"/>
  <c r="AE32" i="4"/>
  <c r="AB32" i="4"/>
  <c r="AA32" i="4"/>
  <c r="X32" i="4"/>
  <c r="AF32" i="4" s="1"/>
  <c r="B32" i="3" s="1"/>
  <c r="V32" i="4"/>
  <c r="T32" i="4"/>
  <c r="P32" i="4"/>
  <c r="W32" i="4" s="1"/>
  <c r="N32" i="4"/>
  <c r="U32" i="4" s="1"/>
  <c r="L32" i="4"/>
  <c r="S32" i="4" s="1"/>
  <c r="K32" i="4"/>
  <c r="R32" i="4" s="1"/>
  <c r="Y32" i="4" s="1"/>
  <c r="J32" i="4"/>
  <c r="Q32" i="4" s="1"/>
  <c r="I32" i="4"/>
  <c r="H32" i="4"/>
  <c r="O32" i="4" s="1"/>
  <c r="G32" i="4"/>
  <c r="F32" i="4"/>
  <c r="M32" i="4" s="1"/>
  <c r="E32" i="4"/>
  <c r="D32" i="4"/>
  <c r="C32" i="4"/>
  <c r="AE31" i="4"/>
  <c r="Z31" i="4"/>
  <c r="AF31" i="4" s="1"/>
  <c r="B31" i="3" s="1"/>
  <c r="T31" i="4"/>
  <c r="AA31" i="4" s="1"/>
  <c r="N31" i="4"/>
  <c r="U31" i="4" s="1"/>
  <c r="AB31" i="4" s="1"/>
  <c r="L31" i="4"/>
  <c r="S31" i="4" s="1"/>
  <c r="J31" i="4"/>
  <c r="Q31" i="4" s="1"/>
  <c r="X31" i="4" s="1"/>
  <c r="I31" i="4"/>
  <c r="P31" i="4" s="1"/>
  <c r="W31" i="4" s="1"/>
  <c r="AD31" i="4" s="1"/>
  <c r="H31" i="4"/>
  <c r="O31" i="4" s="1"/>
  <c r="V31" i="4" s="1"/>
  <c r="AC31" i="4" s="1"/>
  <c r="G31" i="4"/>
  <c r="F31" i="4"/>
  <c r="M31" i="4" s="1"/>
  <c r="E31" i="4"/>
  <c r="D31" i="4"/>
  <c r="K31" i="4" s="1"/>
  <c r="R31" i="4" s="1"/>
  <c r="Y31" i="4" s="1"/>
  <c r="C31" i="4"/>
  <c r="AE30" i="4"/>
  <c r="R30" i="4"/>
  <c r="Y30" i="4" s="1"/>
  <c r="P30" i="4"/>
  <c r="W30" i="4" s="1"/>
  <c r="AD30" i="4" s="1"/>
  <c r="L30" i="4"/>
  <c r="S30" i="4" s="1"/>
  <c r="Z30" i="4" s="1"/>
  <c r="J30" i="4"/>
  <c r="Q30" i="4" s="1"/>
  <c r="X30" i="4" s="1"/>
  <c r="I30" i="4"/>
  <c r="H30" i="4"/>
  <c r="O30" i="4" s="1"/>
  <c r="V30" i="4" s="1"/>
  <c r="AC30" i="4" s="1"/>
  <c r="G30" i="4"/>
  <c r="N30" i="4" s="1"/>
  <c r="U30" i="4" s="1"/>
  <c r="AB30" i="4" s="1"/>
  <c r="F30" i="4"/>
  <c r="M30" i="4" s="1"/>
  <c r="T30" i="4" s="1"/>
  <c r="AA30" i="4" s="1"/>
  <c r="E30" i="4"/>
  <c r="D30" i="4"/>
  <c r="K30" i="4" s="1"/>
  <c r="C30" i="4"/>
  <c r="AE29" i="4"/>
  <c r="AD29" i="4"/>
  <c r="AC29" i="4"/>
  <c r="Z29" i="4"/>
  <c r="P29" i="4"/>
  <c r="W29" i="4" s="1"/>
  <c r="N29" i="4"/>
  <c r="U29" i="4" s="1"/>
  <c r="AB29" i="4" s="1"/>
  <c r="M29" i="4"/>
  <c r="T29" i="4" s="1"/>
  <c r="AA29" i="4" s="1"/>
  <c r="J29" i="4"/>
  <c r="Q29" i="4" s="1"/>
  <c r="X29" i="4" s="1"/>
  <c r="I29" i="4"/>
  <c r="H29" i="4"/>
  <c r="O29" i="4" s="1"/>
  <c r="V29" i="4" s="1"/>
  <c r="G29" i="4"/>
  <c r="F29" i="4"/>
  <c r="E29" i="4"/>
  <c r="L29" i="4" s="1"/>
  <c r="S29" i="4" s="1"/>
  <c r="D29" i="4"/>
  <c r="K29" i="4" s="1"/>
  <c r="R29" i="4" s="1"/>
  <c r="Y29" i="4" s="1"/>
  <c r="C29" i="4"/>
  <c r="AE28" i="4"/>
  <c r="S28" i="4"/>
  <c r="Z28" i="4" s="1"/>
  <c r="P28" i="4"/>
  <c r="W28" i="4" s="1"/>
  <c r="AD28" i="4" s="1"/>
  <c r="N28" i="4"/>
  <c r="U28" i="4" s="1"/>
  <c r="AB28" i="4" s="1"/>
  <c r="L28" i="4"/>
  <c r="I28" i="4"/>
  <c r="H28" i="4"/>
  <c r="O28" i="4" s="1"/>
  <c r="V28" i="4" s="1"/>
  <c r="AC28" i="4" s="1"/>
  <c r="G28" i="4"/>
  <c r="F28" i="4"/>
  <c r="M28" i="4" s="1"/>
  <c r="T28" i="4" s="1"/>
  <c r="AA28" i="4" s="1"/>
  <c r="E28" i="4"/>
  <c r="D28" i="4"/>
  <c r="K28" i="4" s="1"/>
  <c r="R28" i="4" s="1"/>
  <c r="Y28" i="4" s="1"/>
  <c r="C28" i="4"/>
  <c r="J28" i="4" s="1"/>
  <c r="Q28" i="4" s="1"/>
  <c r="X28" i="4" s="1"/>
  <c r="AE27" i="4"/>
  <c r="AB27" i="4"/>
  <c r="Z27" i="4"/>
  <c r="Y27" i="4"/>
  <c r="V27" i="4"/>
  <c r="AC27" i="4" s="1"/>
  <c r="N27" i="4"/>
  <c r="U27" i="4" s="1"/>
  <c r="L27" i="4"/>
  <c r="S27" i="4" s="1"/>
  <c r="J27" i="4"/>
  <c r="Q27" i="4" s="1"/>
  <c r="X27" i="4" s="1"/>
  <c r="AF27" i="4" s="1"/>
  <c r="B27" i="3" s="1"/>
  <c r="I27" i="4"/>
  <c r="P27" i="4" s="1"/>
  <c r="W27" i="4" s="1"/>
  <c r="AD27" i="4" s="1"/>
  <c r="H27" i="4"/>
  <c r="O27" i="4" s="1"/>
  <c r="G27" i="4"/>
  <c r="F27" i="4"/>
  <c r="M27" i="4" s="1"/>
  <c r="T27" i="4" s="1"/>
  <c r="AA27" i="4" s="1"/>
  <c r="E27" i="4"/>
  <c r="D27" i="4"/>
  <c r="K27" i="4" s="1"/>
  <c r="R27" i="4" s="1"/>
  <c r="C27" i="4"/>
  <c r="AE26" i="4"/>
  <c r="Z26" i="4"/>
  <c r="W26" i="4"/>
  <c r="AD26" i="4" s="1"/>
  <c r="T26" i="4"/>
  <c r="AA26" i="4" s="1"/>
  <c r="P26" i="4"/>
  <c r="N26" i="4"/>
  <c r="U26" i="4" s="1"/>
  <c r="AB26" i="4" s="1"/>
  <c r="L26" i="4"/>
  <c r="S26" i="4" s="1"/>
  <c r="J26" i="4"/>
  <c r="Q26" i="4" s="1"/>
  <c r="X26" i="4" s="1"/>
  <c r="AF26" i="4" s="1"/>
  <c r="B26" i="3" s="1"/>
  <c r="I26" i="4"/>
  <c r="H26" i="4"/>
  <c r="O26" i="4" s="1"/>
  <c r="V26" i="4" s="1"/>
  <c r="AC26" i="4" s="1"/>
  <c r="G26" i="4"/>
  <c r="F26" i="4"/>
  <c r="M26" i="4" s="1"/>
  <c r="E26" i="4"/>
  <c r="D26" i="4"/>
  <c r="K26" i="4" s="1"/>
  <c r="R26" i="4" s="1"/>
  <c r="Y26" i="4" s="1"/>
  <c r="C26" i="4"/>
  <c r="AF25" i="4"/>
  <c r="B25" i="3" s="1"/>
  <c r="AE25" i="4"/>
  <c r="V25" i="4"/>
  <c r="AC25" i="4" s="1"/>
  <c r="U25" i="4"/>
  <c r="AB25" i="4" s="1"/>
  <c r="T25" i="4"/>
  <c r="AA25" i="4" s="1"/>
  <c r="R25" i="4"/>
  <c r="Y25" i="4" s="1"/>
  <c r="P25" i="4"/>
  <c r="W25" i="4" s="1"/>
  <c r="AD25" i="4" s="1"/>
  <c r="N25" i="4"/>
  <c r="M25" i="4"/>
  <c r="L25" i="4"/>
  <c r="S25" i="4" s="1"/>
  <c r="Z25" i="4" s="1"/>
  <c r="J25" i="4"/>
  <c r="Q25" i="4" s="1"/>
  <c r="X25" i="4" s="1"/>
  <c r="I25" i="4"/>
  <c r="H25" i="4"/>
  <c r="O25" i="4" s="1"/>
  <c r="G25" i="4"/>
  <c r="F25" i="4"/>
  <c r="E25" i="4"/>
  <c r="D25" i="4"/>
  <c r="K25" i="4" s="1"/>
  <c r="C25" i="4"/>
  <c r="AE24" i="4"/>
  <c r="S24" i="4"/>
  <c r="Z24" i="4" s="1"/>
  <c r="R24" i="4"/>
  <c r="Y24" i="4" s="1"/>
  <c r="AF24" i="4" s="1"/>
  <c r="B24" i="3" s="1"/>
  <c r="P24" i="4"/>
  <c r="W24" i="4" s="1"/>
  <c r="AD24" i="4" s="1"/>
  <c r="N24" i="4"/>
  <c r="U24" i="4" s="1"/>
  <c r="AB24" i="4" s="1"/>
  <c r="L24" i="4"/>
  <c r="K24" i="4"/>
  <c r="J24" i="4"/>
  <c r="Q24" i="4" s="1"/>
  <c r="X24" i="4" s="1"/>
  <c r="I24" i="4"/>
  <c r="H24" i="4"/>
  <c r="O24" i="4" s="1"/>
  <c r="V24" i="4" s="1"/>
  <c r="AC24" i="4" s="1"/>
  <c r="G24" i="4"/>
  <c r="F24" i="4"/>
  <c r="M24" i="4" s="1"/>
  <c r="T24" i="4" s="1"/>
  <c r="AA24" i="4" s="1"/>
  <c r="E24" i="4"/>
  <c r="D24" i="4"/>
  <c r="C24" i="4"/>
  <c r="AE23" i="4"/>
  <c r="Z23" i="4"/>
  <c r="V23" i="4"/>
  <c r="AC23" i="4" s="1"/>
  <c r="Q23" i="4"/>
  <c r="X23" i="4" s="1"/>
  <c r="P23" i="4"/>
  <c r="W23" i="4" s="1"/>
  <c r="AD23" i="4" s="1"/>
  <c r="N23" i="4"/>
  <c r="U23" i="4" s="1"/>
  <c r="AB23" i="4" s="1"/>
  <c r="L23" i="4"/>
  <c r="S23" i="4" s="1"/>
  <c r="J23" i="4"/>
  <c r="I23" i="4"/>
  <c r="H23" i="4"/>
  <c r="O23" i="4" s="1"/>
  <c r="G23" i="4"/>
  <c r="F23" i="4"/>
  <c r="M23" i="4" s="1"/>
  <c r="T23" i="4" s="1"/>
  <c r="AA23" i="4" s="1"/>
  <c r="E23" i="4"/>
  <c r="D23" i="4"/>
  <c r="K23" i="4" s="1"/>
  <c r="R23" i="4" s="1"/>
  <c r="Y23" i="4" s="1"/>
  <c r="C23" i="4"/>
  <c r="AE22" i="4"/>
  <c r="T22" i="4"/>
  <c r="AA22" i="4" s="1"/>
  <c r="S22" i="4"/>
  <c r="O22" i="4"/>
  <c r="V22" i="4" s="1"/>
  <c r="M22" i="4"/>
  <c r="I22" i="4"/>
  <c r="P22" i="4" s="1"/>
  <c r="W22" i="4" s="1"/>
  <c r="H22" i="4"/>
  <c r="G22" i="4"/>
  <c r="N22" i="4" s="1"/>
  <c r="U22" i="4" s="1"/>
  <c r="AB22" i="4" s="1"/>
  <c r="F22" i="4"/>
  <c r="E22" i="4"/>
  <c r="L22" i="4" s="1"/>
  <c r="D22" i="4"/>
  <c r="K22" i="4" s="1"/>
  <c r="R22" i="4" s="1"/>
  <c r="Y22" i="4" s="1"/>
  <c r="C22" i="4"/>
  <c r="J22" i="4" s="1"/>
  <c r="Q22" i="4" s="1"/>
  <c r="X22" i="4" s="1"/>
  <c r="AE21" i="4"/>
  <c r="Z21" i="4"/>
  <c r="U21" i="4"/>
  <c r="AB21" i="4" s="1"/>
  <c r="S21" i="4"/>
  <c r="R21" i="4"/>
  <c r="Y21" i="4" s="1"/>
  <c r="O21" i="4"/>
  <c r="V21" i="4" s="1"/>
  <c r="AC21" i="4" s="1"/>
  <c r="M21" i="4"/>
  <c r="T21" i="4" s="1"/>
  <c r="AA21" i="4" s="1"/>
  <c r="K21" i="4"/>
  <c r="J21" i="4"/>
  <c r="Q21" i="4" s="1"/>
  <c r="X21" i="4" s="1"/>
  <c r="I21" i="4"/>
  <c r="P21" i="4" s="1"/>
  <c r="W21" i="4" s="1"/>
  <c r="AD21" i="4" s="1"/>
  <c r="H21" i="4"/>
  <c r="G21" i="4"/>
  <c r="N21" i="4" s="1"/>
  <c r="F21" i="4"/>
  <c r="E21" i="4"/>
  <c r="L21" i="4" s="1"/>
  <c r="D21" i="4"/>
  <c r="C21" i="4"/>
  <c r="AE20" i="4"/>
  <c r="Q20" i="4"/>
  <c r="X20" i="4" s="1"/>
  <c r="P20" i="4"/>
  <c r="W20" i="4" s="1"/>
  <c r="AD20" i="4" s="1"/>
  <c r="O20" i="4"/>
  <c r="V20" i="4" s="1"/>
  <c r="AC20" i="4" s="1"/>
  <c r="M20" i="4"/>
  <c r="T20" i="4" s="1"/>
  <c r="AA20" i="4" s="1"/>
  <c r="K20" i="4"/>
  <c r="R20" i="4" s="1"/>
  <c r="Y20" i="4" s="1"/>
  <c r="I20" i="4"/>
  <c r="H20" i="4"/>
  <c r="G20" i="4"/>
  <c r="N20" i="4" s="1"/>
  <c r="U20" i="4" s="1"/>
  <c r="AB20" i="4" s="1"/>
  <c r="F20" i="4"/>
  <c r="E20" i="4"/>
  <c r="L20" i="4" s="1"/>
  <c r="S20" i="4" s="1"/>
  <c r="Z20" i="4" s="1"/>
  <c r="AF20" i="4" s="1"/>
  <c r="B20" i="3" s="1"/>
  <c r="D20" i="4"/>
  <c r="C20" i="4"/>
  <c r="J20" i="4" s="1"/>
  <c r="AE19" i="4"/>
  <c r="AA19" i="4"/>
  <c r="Y19" i="4"/>
  <c r="W19" i="4"/>
  <c r="AD19" i="4" s="1"/>
  <c r="O19" i="4"/>
  <c r="V19" i="4" s="1"/>
  <c r="AC19" i="4" s="1"/>
  <c r="N19" i="4"/>
  <c r="U19" i="4" s="1"/>
  <c r="AB19" i="4" s="1"/>
  <c r="M19" i="4"/>
  <c r="T19" i="4" s="1"/>
  <c r="L19" i="4"/>
  <c r="S19" i="4" s="1"/>
  <c r="Z19" i="4" s="1"/>
  <c r="I19" i="4"/>
  <c r="P19" i="4" s="1"/>
  <c r="H19" i="4"/>
  <c r="G19" i="4"/>
  <c r="F19" i="4"/>
  <c r="E19" i="4"/>
  <c r="D19" i="4"/>
  <c r="K19" i="4" s="1"/>
  <c r="R19" i="4" s="1"/>
  <c r="C19" i="4"/>
  <c r="J19" i="4" s="1"/>
  <c r="Q19" i="4" s="1"/>
  <c r="X19" i="4" s="1"/>
  <c r="AE18" i="4"/>
  <c r="AC18" i="4"/>
  <c r="U18" i="4"/>
  <c r="AB18" i="4" s="1"/>
  <c r="T18" i="4"/>
  <c r="AA18" i="4" s="1"/>
  <c r="O18" i="4"/>
  <c r="V18" i="4" s="1"/>
  <c r="M18" i="4"/>
  <c r="L18" i="4"/>
  <c r="S18" i="4" s="1"/>
  <c r="Z18" i="4" s="1"/>
  <c r="K18" i="4"/>
  <c r="R18" i="4" s="1"/>
  <c r="Y18" i="4" s="1"/>
  <c r="J18" i="4"/>
  <c r="Q18" i="4" s="1"/>
  <c r="X18" i="4" s="1"/>
  <c r="I18" i="4"/>
  <c r="P18" i="4" s="1"/>
  <c r="W18" i="4" s="1"/>
  <c r="AD18" i="4" s="1"/>
  <c r="H18" i="4"/>
  <c r="G18" i="4"/>
  <c r="N18" i="4" s="1"/>
  <c r="F18" i="4"/>
  <c r="E18" i="4"/>
  <c r="D18" i="4"/>
  <c r="C18" i="4"/>
  <c r="AE17" i="4"/>
  <c r="AA17" i="4"/>
  <c r="U17" i="4"/>
  <c r="AB17" i="4" s="1"/>
  <c r="S17" i="4"/>
  <c r="Z17" i="4" s="1"/>
  <c r="Q17" i="4"/>
  <c r="X17" i="4" s="1"/>
  <c r="O17" i="4"/>
  <c r="V17" i="4" s="1"/>
  <c r="AC17" i="4" s="1"/>
  <c r="M17" i="4"/>
  <c r="T17" i="4" s="1"/>
  <c r="K17" i="4"/>
  <c r="R17" i="4" s="1"/>
  <c r="Y17" i="4" s="1"/>
  <c r="AF17" i="4" s="1"/>
  <c r="B17" i="3" s="1"/>
  <c r="J17" i="4"/>
  <c r="I17" i="4"/>
  <c r="P17" i="4" s="1"/>
  <c r="W17" i="4" s="1"/>
  <c r="AD17" i="4" s="1"/>
  <c r="H17" i="4"/>
  <c r="G17" i="4"/>
  <c r="N17" i="4" s="1"/>
  <c r="F17" i="4"/>
  <c r="E17" i="4"/>
  <c r="L17" i="4" s="1"/>
  <c r="D17" i="4"/>
  <c r="C17" i="4"/>
  <c r="AE16" i="4"/>
  <c r="AA16" i="4"/>
  <c r="Y16" i="4"/>
  <c r="Q16" i="4"/>
  <c r="X16" i="4" s="1"/>
  <c r="P16" i="4"/>
  <c r="W16" i="4" s="1"/>
  <c r="AD16" i="4" s="1"/>
  <c r="O16" i="4"/>
  <c r="V16" i="4" s="1"/>
  <c r="AC16" i="4" s="1"/>
  <c r="K16" i="4"/>
  <c r="R16" i="4" s="1"/>
  <c r="I16" i="4"/>
  <c r="H16" i="4"/>
  <c r="G16" i="4"/>
  <c r="N16" i="4" s="1"/>
  <c r="U16" i="4" s="1"/>
  <c r="AB16" i="4" s="1"/>
  <c r="F16" i="4"/>
  <c r="M16" i="4" s="1"/>
  <c r="T16" i="4" s="1"/>
  <c r="E16" i="4"/>
  <c r="L16" i="4" s="1"/>
  <c r="S16" i="4" s="1"/>
  <c r="Z16" i="4" s="1"/>
  <c r="D16" i="4"/>
  <c r="C16" i="4"/>
  <c r="J16" i="4" s="1"/>
  <c r="AE15" i="4"/>
  <c r="AA15" i="4"/>
  <c r="Y15" i="4"/>
  <c r="W15" i="4"/>
  <c r="AD15" i="4" s="1"/>
  <c r="O15" i="4"/>
  <c r="V15" i="4" s="1"/>
  <c r="AC15" i="4" s="1"/>
  <c r="N15" i="4"/>
  <c r="U15" i="4" s="1"/>
  <c r="AB15" i="4" s="1"/>
  <c r="M15" i="4"/>
  <c r="T15" i="4" s="1"/>
  <c r="L15" i="4"/>
  <c r="S15" i="4" s="1"/>
  <c r="Z15" i="4" s="1"/>
  <c r="I15" i="4"/>
  <c r="P15" i="4" s="1"/>
  <c r="H15" i="4"/>
  <c r="G15" i="4"/>
  <c r="F15" i="4"/>
  <c r="E15" i="4"/>
  <c r="D15" i="4"/>
  <c r="K15" i="4" s="1"/>
  <c r="R15" i="4" s="1"/>
  <c r="C15" i="4"/>
  <c r="J15" i="4" s="1"/>
  <c r="Q15" i="4" s="1"/>
  <c r="X15" i="4" s="1"/>
  <c r="AE14" i="4"/>
  <c r="AC14" i="4"/>
  <c r="U14" i="4"/>
  <c r="AB14" i="4" s="1"/>
  <c r="T14" i="4"/>
  <c r="AA14" i="4" s="1"/>
  <c r="O14" i="4"/>
  <c r="V14" i="4" s="1"/>
  <c r="M14" i="4"/>
  <c r="L14" i="4"/>
  <c r="S14" i="4" s="1"/>
  <c r="Z14" i="4" s="1"/>
  <c r="K14" i="4"/>
  <c r="R14" i="4" s="1"/>
  <c r="Y14" i="4" s="1"/>
  <c r="J14" i="4"/>
  <c r="Q14" i="4" s="1"/>
  <c r="X14" i="4" s="1"/>
  <c r="I14" i="4"/>
  <c r="P14" i="4" s="1"/>
  <c r="W14" i="4" s="1"/>
  <c r="AD14" i="4" s="1"/>
  <c r="H14" i="4"/>
  <c r="G14" i="4"/>
  <c r="N14" i="4" s="1"/>
  <c r="F14" i="4"/>
  <c r="E14" i="4"/>
  <c r="D14" i="4"/>
  <c r="C14" i="4"/>
  <c r="AE13" i="4"/>
  <c r="S13" i="4"/>
  <c r="Z13" i="4" s="1"/>
  <c r="Q13" i="4"/>
  <c r="X13" i="4" s="1"/>
  <c r="O13" i="4"/>
  <c r="V13" i="4" s="1"/>
  <c r="AC13" i="4" s="1"/>
  <c r="K13" i="4"/>
  <c r="R13" i="4" s="1"/>
  <c r="Y13" i="4" s="1"/>
  <c r="J13" i="4"/>
  <c r="I13" i="4"/>
  <c r="P13" i="4" s="1"/>
  <c r="W13" i="4" s="1"/>
  <c r="AD13" i="4" s="1"/>
  <c r="H13" i="4"/>
  <c r="G13" i="4"/>
  <c r="N13" i="4" s="1"/>
  <c r="U13" i="4" s="1"/>
  <c r="AB13" i="4" s="1"/>
  <c r="AF13" i="4" s="1"/>
  <c r="B13" i="3" s="1"/>
  <c r="F13" i="4"/>
  <c r="M13" i="4" s="1"/>
  <c r="T13" i="4" s="1"/>
  <c r="AA13" i="4" s="1"/>
  <c r="E13" i="4"/>
  <c r="L13" i="4" s="1"/>
  <c r="D13" i="4"/>
  <c r="C13" i="4"/>
  <c r="AE12" i="4"/>
  <c r="Y12" i="4"/>
  <c r="X12" i="4"/>
  <c r="AF12" i="4" s="1"/>
  <c r="B12" i="3" s="1"/>
  <c r="P12" i="4"/>
  <c r="W12" i="4" s="1"/>
  <c r="O12" i="4"/>
  <c r="V12" i="4" s="1"/>
  <c r="M12" i="4"/>
  <c r="T12" i="4" s="1"/>
  <c r="I12" i="4"/>
  <c r="H12" i="4"/>
  <c r="G12" i="4"/>
  <c r="N12" i="4" s="1"/>
  <c r="U12" i="4" s="1"/>
  <c r="AB12" i="4" s="1"/>
  <c r="F12" i="4"/>
  <c r="E12" i="4"/>
  <c r="L12" i="4" s="1"/>
  <c r="S12" i="4" s="1"/>
  <c r="D12" i="4"/>
  <c r="K12" i="4" s="1"/>
  <c r="R12" i="4" s="1"/>
  <c r="C12" i="4"/>
  <c r="J12" i="4" s="1"/>
  <c r="Q12" i="4" s="1"/>
  <c r="AE11" i="4"/>
  <c r="X11" i="4"/>
  <c r="W11" i="4"/>
  <c r="P11" i="4"/>
  <c r="O11" i="4"/>
  <c r="V11" i="4" s="1"/>
  <c r="AC11" i="4" s="1"/>
  <c r="N11" i="4"/>
  <c r="U11" i="4" s="1"/>
  <c r="AB11" i="4" s="1"/>
  <c r="I11" i="4"/>
  <c r="H11" i="4"/>
  <c r="G11" i="4"/>
  <c r="F11" i="4"/>
  <c r="M11" i="4" s="1"/>
  <c r="T11" i="4" s="1"/>
  <c r="AA11" i="4" s="1"/>
  <c r="E11" i="4"/>
  <c r="L11" i="4" s="1"/>
  <c r="S11" i="4" s="1"/>
  <c r="D11" i="4"/>
  <c r="K11" i="4" s="1"/>
  <c r="R11" i="4" s="1"/>
  <c r="Y11" i="4" s="1"/>
  <c r="C11" i="4"/>
  <c r="J11" i="4" s="1"/>
  <c r="Q11" i="4" s="1"/>
  <c r="AE10" i="4"/>
  <c r="W10" i="4"/>
  <c r="AD10" i="4" s="1"/>
  <c r="O10" i="4"/>
  <c r="V10" i="4" s="1"/>
  <c r="AC10" i="4" s="1"/>
  <c r="N10" i="4"/>
  <c r="U10" i="4" s="1"/>
  <c r="AB10" i="4" s="1"/>
  <c r="M10" i="4"/>
  <c r="T10" i="4" s="1"/>
  <c r="AA10" i="4" s="1"/>
  <c r="I10" i="4"/>
  <c r="P10" i="4" s="1"/>
  <c r="H10" i="4"/>
  <c r="G10" i="4"/>
  <c r="F10" i="4"/>
  <c r="E10" i="4"/>
  <c r="L10" i="4" s="1"/>
  <c r="S10" i="4" s="1"/>
  <c r="Z10" i="4" s="1"/>
  <c r="D10" i="4"/>
  <c r="K10" i="4" s="1"/>
  <c r="R10" i="4" s="1"/>
  <c r="Y10" i="4" s="1"/>
  <c r="C10" i="4"/>
  <c r="J10" i="4" s="1"/>
  <c r="Q10" i="4" s="1"/>
  <c r="X10" i="4" s="1"/>
  <c r="AE9" i="4"/>
  <c r="Z9" i="4"/>
  <c r="S9" i="4"/>
  <c r="R9" i="4"/>
  <c r="Y9" i="4" s="1"/>
  <c r="Q9" i="4"/>
  <c r="X9" i="4" s="1"/>
  <c r="P9" i="4"/>
  <c r="W9" i="4" s="1"/>
  <c r="AD9" i="4" s="1"/>
  <c r="L9" i="4"/>
  <c r="K9" i="4"/>
  <c r="J9" i="4"/>
  <c r="I9" i="4"/>
  <c r="H9" i="4"/>
  <c r="O9" i="4" s="1"/>
  <c r="V9" i="4" s="1"/>
  <c r="AC9" i="4" s="1"/>
  <c r="G9" i="4"/>
  <c r="N9" i="4" s="1"/>
  <c r="U9" i="4" s="1"/>
  <c r="AB9" i="4" s="1"/>
  <c r="F9" i="4"/>
  <c r="M9" i="4" s="1"/>
  <c r="T9" i="4" s="1"/>
  <c r="AA9" i="4" s="1"/>
  <c r="E9" i="4"/>
  <c r="D9" i="4"/>
  <c r="C9" i="4"/>
  <c r="AE8" i="4"/>
  <c r="X8" i="4"/>
  <c r="W8" i="4"/>
  <c r="AD8" i="4" s="1"/>
  <c r="Q8" i="4"/>
  <c r="P8" i="4"/>
  <c r="J8" i="4"/>
  <c r="I8" i="4"/>
  <c r="H8" i="4"/>
  <c r="O8" i="4" s="1"/>
  <c r="V8" i="4" s="1"/>
  <c r="AC8" i="4" s="1"/>
  <c r="G8" i="4"/>
  <c r="N8" i="4" s="1"/>
  <c r="U8" i="4" s="1"/>
  <c r="AB8" i="4" s="1"/>
  <c r="F8" i="4"/>
  <c r="M8" i="4" s="1"/>
  <c r="T8" i="4" s="1"/>
  <c r="AA8" i="4" s="1"/>
  <c r="E8" i="4"/>
  <c r="L8" i="4" s="1"/>
  <c r="S8" i="4" s="1"/>
  <c r="Z8" i="4" s="1"/>
  <c r="D8" i="4"/>
  <c r="K8" i="4" s="1"/>
  <c r="R8" i="4" s="1"/>
  <c r="Y8" i="4" s="1"/>
  <c r="C8" i="4"/>
  <c r="AE7" i="4"/>
  <c r="AD7" i="4"/>
  <c r="AC7" i="4"/>
  <c r="W7" i="4"/>
  <c r="V7" i="4"/>
  <c r="P7" i="4"/>
  <c r="O7" i="4"/>
  <c r="N7" i="4"/>
  <c r="U7" i="4" s="1"/>
  <c r="AB7" i="4" s="1"/>
  <c r="M7" i="4"/>
  <c r="T7" i="4" s="1"/>
  <c r="AA7" i="4" s="1"/>
  <c r="L7" i="4"/>
  <c r="S7" i="4" s="1"/>
  <c r="Z7" i="4" s="1"/>
  <c r="I7" i="4"/>
  <c r="H7" i="4"/>
  <c r="G7" i="4"/>
  <c r="F7" i="4"/>
  <c r="E7" i="4"/>
  <c r="D7" i="4"/>
  <c r="K7" i="4" s="1"/>
  <c r="R7" i="4" s="1"/>
  <c r="Y7" i="4" s="1"/>
  <c r="C7" i="4"/>
  <c r="J7" i="4" s="1"/>
  <c r="Q7" i="4" s="1"/>
  <c r="X7" i="4" s="1"/>
  <c r="AE6" i="4"/>
  <c r="AB6" i="4"/>
  <c r="U6" i="4"/>
  <c r="T6" i="4"/>
  <c r="AA6" i="4" s="1"/>
  <c r="S6" i="4"/>
  <c r="Z6" i="4" s="1"/>
  <c r="N6" i="4"/>
  <c r="M6" i="4"/>
  <c r="L6" i="4"/>
  <c r="J6" i="4"/>
  <c r="Q6" i="4" s="1"/>
  <c r="X6" i="4" s="1"/>
  <c r="I6" i="4"/>
  <c r="P6" i="4" s="1"/>
  <c r="W6" i="4" s="1"/>
  <c r="AD6" i="4" s="1"/>
  <c r="H6" i="4"/>
  <c r="O6" i="4" s="1"/>
  <c r="V6" i="4" s="1"/>
  <c r="AC6" i="4" s="1"/>
  <c r="G6" i="4"/>
  <c r="F6" i="4"/>
  <c r="E6" i="4"/>
  <c r="D6" i="4"/>
  <c r="K6" i="4" s="1"/>
  <c r="R6" i="4" s="1"/>
  <c r="Y6" i="4" s="1"/>
  <c r="C6" i="4"/>
  <c r="AE5" i="4"/>
  <c r="Z5" i="4"/>
  <c r="Y5" i="4"/>
  <c r="S5" i="4"/>
  <c r="R5" i="4"/>
  <c r="L5" i="4"/>
  <c r="K5" i="4"/>
  <c r="J5" i="4"/>
  <c r="Q5" i="4" s="1"/>
  <c r="X5" i="4" s="1"/>
  <c r="I5" i="4"/>
  <c r="P5" i="4" s="1"/>
  <c r="W5" i="4" s="1"/>
  <c r="AD5" i="4" s="1"/>
  <c r="H5" i="4"/>
  <c r="O5" i="4" s="1"/>
  <c r="V5" i="4" s="1"/>
  <c r="AC5" i="4" s="1"/>
  <c r="G5" i="4"/>
  <c r="N5" i="4" s="1"/>
  <c r="U5" i="4" s="1"/>
  <c r="AB5" i="4" s="1"/>
  <c r="F5" i="4"/>
  <c r="M5" i="4" s="1"/>
  <c r="T5" i="4" s="1"/>
  <c r="AA5" i="4" s="1"/>
  <c r="E5" i="4"/>
  <c r="D5" i="4"/>
  <c r="C5" i="4"/>
  <c r="AE4" i="4"/>
  <c r="X4" i="4"/>
  <c r="Q4" i="4"/>
  <c r="P4" i="4"/>
  <c r="W4" i="4" s="1"/>
  <c r="AD4" i="4" s="1"/>
  <c r="O4" i="4"/>
  <c r="V4" i="4" s="1"/>
  <c r="AC4" i="4" s="1"/>
  <c r="N4" i="4"/>
  <c r="U4" i="4" s="1"/>
  <c r="AB4" i="4" s="1"/>
  <c r="J4" i="4"/>
  <c r="I4" i="4"/>
  <c r="H4" i="4"/>
  <c r="G4" i="4"/>
  <c r="F4" i="4"/>
  <c r="M4" i="4" s="1"/>
  <c r="T4" i="4" s="1"/>
  <c r="AA4" i="4" s="1"/>
  <c r="E4" i="4"/>
  <c r="L4" i="4" s="1"/>
  <c r="S4" i="4" s="1"/>
  <c r="Z4" i="4" s="1"/>
  <c r="D4" i="4"/>
  <c r="K4" i="4" s="1"/>
  <c r="R4" i="4" s="1"/>
  <c r="Y4" i="4" s="1"/>
  <c r="AF4" i="4" s="1"/>
  <c r="B4" i="3" s="1"/>
  <c r="C4" i="4"/>
  <c r="I2" i="4"/>
  <c r="H2" i="4"/>
  <c r="G2" i="4"/>
  <c r="F2" i="4"/>
  <c r="E2" i="4"/>
  <c r="D2" i="4"/>
  <c r="C2" i="4"/>
  <c r="E49" i="3"/>
  <c r="E47" i="3"/>
  <c r="E43" i="3"/>
  <c r="E40" i="3"/>
  <c r="E37" i="3"/>
  <c r="E33" i="3"/>
  <c r="E29" i="3"/>
  <c r="E28" i="3"/>
  <c r="E24" i="3"/>
  <c r="E14" i="3"/>
  <c r="E6" i="3"/>
  <c r="E49" i="2"/>
  <c r="E47" i="2"/>
  <c r="E46" i="2"/>
  <c r="E45" i="2"/>
  <c r="E43" i="2"/>
  <c r="E42" i="2"/>
  <c r="E41" i="2"/>
  <c r="E40" i="2"/>
  <c r="E37" i="2"/>
  <c r="E33" i="2"/>
  <c r="E29" i="2"/>
  <c r="E28" i="2"/>
  <c r="E24" i="2"/>
  <c r="E22" i="2"/>
  <c r="E18" i="2"/>
  <c r="E16" i="2"/>
  <c r="E14" i="2"/>
  <c r="E10" i="2"/>
  <c r="E8" i="2"/>
  <c r="E6" i="2"/>
  <c r="AF30" i="4" l="1"/>
  <c r="B30" i="3" s="1"/>
  <c r="AF8" i="4"/>
  <c r="B8" i="3" s="1"/>
  <c r="B48" i="2"/>
  <c r="AF5" i="4"/>
  <c r="B5" i="3" s="1"/>
  <c r="B31" i="2"/>
  <c r="AF28" i="4"/>
  <c r="B28" i="3" s="1"/>
  <c r="AF11" i="4"/>
  <c r="B11" i="3" s="1"/>
  <c r="AF19" i="4"/>
  <c r="B19" i="3" s="1"/>
  <c r="B7" i="2"/>
  <c r="B28" i="2"/>
  <c r="AF29" i="4"/>
  <c r="B29" i="3" s="1"/>
  <c r="AF33" i="4"/>
  <c r="B33" i="3" s="1"/>
  <c r="AF36" i="4"/>
  <c r="B36" i="3" s="1"/>
  <c r="AF42" i="4"/>
  <c r="B42" i="3" s="1"/>
  <c r="AF21" i="4"/>
  <c r="B21" i="3" s="1"/>
  <c r="B37" i="2"/>
  <c r="D37" i="2" s="1"/>
  <c r="B33" i="2"/>
  <c r="B29" i="2"/>
  <c r="B25" i="2"/>
  <c r="B17" i="2"/>
  <c r="B13" i="2"/>
  <c r="B5" i="2"/>
  <c r="B42" i="2"/>
  <c r="B46" i="2"/>
  <c r="B34" i="2"/>
  <c r="B26" i="2"/>
  <c r="B38" i="2"/>
  <c r="B30" i="2"/>
  <c r="B14" i="2"/>
  <c r="B6" i="2"/>
  <c r="AF35" i="4"/>
  <c r="B35" i="3" s="1"/>
  <c r="AF7" i="4"/>
  <c r="B7" i="3" s="1"/>
  <c r="B12" i="2"/>
  <c r="B23" i="2"/>
  <c r="B51" i="2"/>
  <c r="AF23" i="4"/>
  <c r="B23" i="3" s="1"/>
  <c r="AF9" i="4"/>
  <c r="B9" i="3" s="1"/>
  <c r="B4" i="2"/>
  <c r="B40" i="2"/>
  <c r="AF6" i="4"/>
  <c r="B6" i="3" s="1"/>
  <c r="AF16" i="4"/>
  <c r="B44" i="2"/>
  <c r="AF10" i="4"/>
  <c r="B10" i="3" s="1"/>
  <c r="AF18" i="4"/>
  <c r="B18" i="3" s="1"/>
  <c r="B24" i="2"/>
  <c r="B32" i="2"/>
  <c r="B27" i="2"/>
  <c r="B35" i="2"/>
  <c r="AF46" i="4"/>
  <c r="B46" i="3" s="1"/>
  <c r="AF14" i="4"/>
  <c r="B14" i="3" s="1"/>
  <c r="AF15" i="4"/>
  <c r="B15" i="3" s="1"/>
  <c r="B11" i="2"/>
  <c r="B20" i="2"/>
  <c r="AF37" i="4"/>
  <c r="B37" i="3" s="1"/>
  <c r="AF43" i="4"/>
  <c r="B43" i="3" s="1"/>
  <c r="AF50" i="4"/>
  <c r="B50" i="3" s="1"/>
  <c r="AE4" i="5"/>
  <c r="AJ5" i="5"/>
  <c r="AE9" i="5"/>
  <c r="AE19" i="5"/>
  <c r="AI26" i="5"/>
  <c r="AG26" i="5"/>
  <c r="AJ26" i="5" s="1"/>
  <c r="AH26" i="5"/>
  <c r="AK26" i="5" s="1"/>
  <c r="AE34" i="5"/>
  <c r="C34" i="2" s="1"/>
  <c r="AF4" i="5"/>
  <c r="AK4" i="5" s="1"/>
  <c r="AG9" i="5"/>
  <c r="AI9" i="5"/>
  <c r="AF49" i="4"/>
  <c r="B49" i="3" s="1"/>
  <c r="AH8" i="5"/>
  <c r="AF8" i="5"/>
  <c r="AH17" i="5"/>
  <c r="AF17" i="5"/>
  <c r="AE22" i="5"/>
  <c r="AF38" i="4"/>
  <c r="B38" i="3" s="1"/>
  <c r="AF47" i="4"/>
  <c r="B47" i="3" s="1"/>
  <c r="AE11" i="5"/>
  <c r="AG11" i="5"/>
  <c r="AI11" i="5"/>
  <c r="AK29" i="5"/>
  <c r="C29" i="2" s="1"/>
  <c r="AE30" i="5"/>
  <c r="AF37" i="5"/>
  <c r="AK37" i="5" s="1"/>
  <c r="C37" i="2" s="1"/>
  <c r="AH37" i="5"/>
  <c r="AF39" i="4"/>
  <c r="B39" i="3" s="1"/>
  <c r="AF40" i="4"/>
  <c r="B40" i="3" s="1"/>
  <c r="AF41" i="4"/>
  <c r="B41" i="3" s="1"/>
  <c r="AH20" i="5"/>
  <c r="AK20" i="5" s="1"/>
  <c r="AF22" i="4"/>
  <c r="B22" i="3" s="1"/>
  <c r="AF45" i="4"/>
  <c r="B45" i="3" s="1"/>
  <c r="AH7" i="5"/>
  <c r="AF7" i="5"/>
  <c r="AE7" i="5"/>
  <c r="AF10" i="5"/>
  <c r="AE12" i="5"/>
  <c r="AH12" i="5"/>
  <c r="AK12" i="5" s="1"/>
  <c r="AL12" i="5" s="1"/>
  <c r="C12" i="3" s="1"/>
  <c r="D12" i="3" s="1"/>
  <c r="AJ13" i="5"/>
  <c r="AL18" i="5"/>
  <c r="C18" i="3" s="1"/>
  <c r="AG6" i="5"/>
  <c r="AJ6" i="5" s="1"/>
  <c r="AF9" i="5"/>
  <c r="AK9" i="5" s="1"/>
  <c r="AF15" i="5"/>
  <c r="AH15" i="5"/>
  <c r="AE15" i="5"/>
  <c r="AI21" i="5"/>
  <c r="AG21" i="5"/>
  <c r="AH31" i="5"/>
  <c r="AF31" i="5"/>
  <c r="AH35" i="5"/>
  <c r="AK35" i="5" s="1"/>
  <c r="AL35" i="5" s="1"/>
  <c r="C35" i="3" s="1"/>
  <c r="AE35" i="5"/>
  <c r="AE36" i="5"/>
  <c r="C36" i="2" s="1"/>
  <c r="AL37" i="5"/>
  <c r="C37" i="3" s="1"/>
  <c r="AG33" i="5"/>
  <c r="AI33" i="5"/>
  <c r="AF38" i="5"/>
  <c r="AG40" i="5"/>
  <c r="AI40" i="5"/>
  <c r="AH5" i="5"/>
  <c r="AK5" i="5" s="1"/>
  <c r="AE6" i="5"/>
  <c r="C6" i="2" s="1"/>
  <c r="AE14" i="5"/>
  <c r="AF14" i="5"/>
  <c r="AF19" i="5"/>
  <c r="AK19" i="5" s="1"/>
  <c r="AL19" i="5" s="1"/>
  <c r="C19" i="3" s="1"/>
  <c r="Y22" i="5"/>
  <c r="AD22" i="5" s="1"/>
  <c r="C22" i="2" s="1"/>
  <c r="AH23" i="5"/>
  <c r="AF23" i="5"/>
  <c r="AE32" i="5"/>
  <c r="AF48" i="4"/>
  <c r="B48" i="3" s="1"/>
  <c r="AH16" i="5"/>
  <c r="AF16" i="5"/>
  <c r="AK16" i="5" s="1"/>
  <c r="AL16" i="5" s="1"/>
  <c r="C16" i="3" s="1"/>
  <c r="AE16" i="5"/>
  <c r="C16" i="2" s="1"/>
  <c r="AH21" i="5"/>
  <c r="AE25" i="5"/>
  <c r="AE28" i="5"/>
  <c r="Y4" i="5"/>
  <c r="AD4" i="5" s="1"/>
  <c r="AJ8" i="5"/>
  <c r="AE10" i="5"/>
  <c r="AH10" i="5"/>
  <c r="AH13" i="5"/>
  <c r="AF13" i="5"/>
  <c r="AH14" i="5"/>
  <c r="AG14" i="5"/>
  <c r="AJ14" i="5" s="1"/>
  <c r="AG17" i="5"/>
  <c r="AJ17" i="5" s="1"/>
  <c r="AI25" i="5"/>
  <c r="AG25" i="5"/>
  <c r="AJ25" i="5" s="1"/>
  <c r="AL32" i="5"/>
  <c r="C32" i="3" s="1"/>
  <c r="D32" i="3" s="1"/>
  <c r="AH39" i="5"/>
  <c r="AF39" i="5"/>
  <c r="AF11" i="5"/>
  <c r="AK11" i="5" s="1"/>
  <c r="AH11" i="5"/>
  <c r="AF49" i="5"/>
  <c r="AK49" i="5" s="1"/>
  <c r="AI7" i="5"/>
  <c r="AJ7" i="5" s="1"/>
  <c r="AH24" i="5"/>
  <c r="AK24" i="5" s="1"/>
  <c r="AH25" i="5"/>
  <c r="AK25" i="5" s="1"/>
  <c r="AE26" i="5"/>
  <c r="AF32" i="5"/>
  <c r="AK32" i="5" s="1"/>
  <c r="AH33" i="5"/>
  <c r="AE40" i="5"/>
  <c r="AF45" i="5"/>
  <c r="AI49" i="5"/>
  <c r="AG49" i="5"/>
  <c r="AJ49" i="5" s="1"/>
  <c r="AE51" i="5"/>
  <c r="AF41" i="5"/>
  <c r="AK41" i="5" s="1"/>
  <c r="AH44" i="5"/>
  <c r="AF44" i="5"/>
  <c r="AH43" i="5"/>
  <c r="AF43" i="5"/>
  <c r="AE43" i="5"/>
  <c r="AK46" i="5"/>
  <c r="AH48" i="5"/>
  <c r="AF48" i="5"/>
  <c r="Q7" i="6"/>
  <c r="E5" i="3" s="1"/>
  <c r="Q22" i="6"/>
  <c r="E20" i="3" s="1"/>
  <c r="AF8" i="7"/>
  <c r="AE8" i="7" s="1"/>
  <c r="AG8" i="7"/>
  <c r="Y15" i="5"/>
  <c r="AD15" i="5" s="1"/>
  <c r="AE21" i="5"/>
  <c r="AF21" i="5"/>
  <c r="Y23" i="5"/>
  <c r="AD23" i="5" s="1"/>
  <c r="Y31" i="5"/>
  <c r="AD31" i="5" s="1"/>
  <c r="Y39" i="5"/>
  <c r="AD39" i="5" s="1"/>
  <c r="AE42" i="5"/>
  <c r="AF42" i="5"/>
  <c r="AJ43" i="5"/>
  <c r="O7" i="6"/>
  <c r="E5" i="2" s="1"/>
  <c r="M9" i="6"/>
  <c r="Q24" i="6"/>
  <c r="E22" i="3" s="1"/>
  <c r="Q53" i="6"/>
  <c r="E51" i="3" s="1"/>
  <c r="AH27" i="5"/>
  <c r="AK27" i="5" s="1"/>
  <c r="AL27" i="5" s="1"/>
  <c r="C27" i="3" s="1"/>
  <c r="D27" i="3" s="1"/>
  <c r="AE27" i="5"/>
  <c r="AJ30" i="5"/>
  <c r="AF34" i="5"/>
  <c r="AK34" i="5" s="1"/>
  <c r="AJ38" i="5"/>
  <c r="AH42" i="5"/>
  <c r="AH47" i="5"/>
  <c r="AK47" i="5" s="1"/>
  <c r="AI48" i="5"/>
  <c r="AJ48" i="5" s="1"/>
  <c r="AI22" i="5"/>
  <c r="AJ22" i="5" s="1"/>
  <c r="AH30" i="5"/>
  <c r="AK30" i="5" s="1"/>
  <c r="AH38" i="5"/>
  <c r="AG46" i="5"/>
  <c r="AJ46" i="5" s="1"/>
  <c r="AE50" i="5"/>
  <c r="AF50" i="5"/>
  <c r="AK50" i="5" s="1"/>
  <c r="AL50" i="5" s="1"/>
  <c r="C50" i="3" s="1"/>
  <c r="P15" i="6"/>
  <c r="E13" i="2" s="1"/>
  <c r="O19" i="6"/>
  <c r="E17" i="2" s="1"/>
  <c r="Q20" i="6"/>
  <c r="E18" i="3" s="1"/>
  <c r="P23" i="6"/>
  <c r="E21" i="2" s="1"/>
  <c r="Q10" i="6"/>
  <c r="E8" i="3" s="1"/>
  <c r="Q47" i="6"/>
  <c r="E45" i="3" s="1"/>
  <c r="P9" i="6"/>
  <c r="M17" i="6"/>
  <c r="AG12" i="7"/>
  <c r="U12" i="7"/>
  <c r="AM12" i="7" s="1"/>
  <c r="I56" i="6"/>
  <c r="I55" i="6"/>
  <c r="Q18" i="6"/>
  <c r="E16" i="3" s="1"/>
  <c r="AH28" i="5"/>
  <c r="AF28" i="5"/>
  <c r="AF33" i="5"/>
  <c r="AK33" i="5" s="1"/>
  <c r="AH36" i="5"/>
  <c r="AF36" i="5"/>
  <c r="AK36" i="5" s="1"/>
  <c r="AG39" i="5"/>
  <c r="AJ39" i="5" s="1"/>
  <c r="AE41" i="5"/>
  <c r="C41" i="2" s="1"/>
  <c r="AH45" i="5"/>
  <c r="AJ47" i="5"/>
  <c r="O17" i="6"/>
  <c r="AF4" i="7"/>
  <c r="AE4" i="7" s="1"/>
  <c r="AI7" i="7"/>
  <c r="AK7" i="7"/>
  <c r="AG28" i="5"/>
  <c r="AJ28" i="5" s="1"/>
  <c r="AG36" i="5"/>
  <c r="AJ36" i="5" s="1"/>
  <c r="Y44" i="5"/>
  <c r="AD44" i="5" s="1"/>
  <c r="AE45" i="5"/>
  <c r="N11" i="6"/>
  <c r="P17" i="6"/>
  <c r="Q23" i="6"/>
  <c r="E21" i="3" s="1"/>
  <c r="N27" i="6"/>
  <c r="E25" i="2" s="1"/>
  <c r="M34" i="6"/>
  <c r="Q43" i="6"/>
  <c r="E41" i="3" s="1"/>
  <c r="AK4" i="7"/>
  <c r="AE33" i="5"/>
  <c r="AH51" i="5"/>
  <c r="AF51" i="5"/>
  <c r="AK51" i="5" s="1"/>
  <c r="AL51" i="5" s="1"/>
  <c r="C51" i="3" s="1"/>
  <c r="D51" i="3" s="1"/>
  <c r="M6" i="6"/>
  <c r="O11" i="6"/>
  <c r="Q12" i="6"/>
  <c r="E10" i="3" s="1"/>
  <c r="Q44" i="6"/>
  <c r="E42" i="3" s="1"/>
  <c r="M13" i="6"/>
  <c r="M21" i="6"/>
  <c r="M28" i="6"/>
  <c r="T4" i="7"/>
  <c r="S4" i="7" s="1"/>
  <c r="AL10" i="7"/>
  <c r="AI20" i="7"/>
  <c r="AO20" i="7" s="1"/>
  <c r="AQ20" i="7" s="1"/>
  <c r="F20" i="3" s="1"/>
  <c r="AP21" i="7"/>
  <c r="AO25" i="7"/>
  <c r="AK30" i="7"/>
  <c r="AI30" i="7"/>
  <c r="AJ43" i="7"/>
  <c r="AL43" i="7"/>
  <c r="AN19" i="7"/>
  <c r="AI26" i="7"/>
  <c r="AK26" i="7"/>
  <c r="AF31" i="7"/>
  <c r="AE31" i="7" s="1"/>
  <c r="AJ31" i="7"/>
  <c r="AI34" i="7"/>
  <c r="AK34" i="7"/>
  <c r="T46" i="7"/>
  <c r="S46" i="7" s="1"/>
  <c r="AI46" i="7"/>
  <c r="AF10" i="7"/>
  <c r="AE10" i="7" s="1"/>
  <c r="AI15" i="7"/>
  <c r="AO15" i="7" s="1"/>
  <c r="AO18" i="7"/>
  <c r="AH18" i="7"/>
  <c r="AN18" i="7" s="1"/>
  <c r="AK19" i="7"/>
  <c r="AI24" i="7"/>
  <c r="AO24" i="7" s="1"/>
  <c r="T24" i="7"/>
  <c r="S24" i="7" s="1"/>
  <c r="AI29" i="7"/>
  <c r="U30" i="7"/>
  <c r="AM30" i="7" s="1"/>
  <c r="AO33" i="7"/>
  <c r="U36" i="7"/>
  <c r="AM36" i="7" s="1"/>
  <c r="AN42" i="7"/>
  <c r="AI31" i="7"/>
  <c r="T31" i="7"/>
  <c r="S31" i="7" s="1"/>
  <c r="AI40" i="7"/>
  <c r="T40" i="7"/>
  <c r="S40" i="7" s="1"/>
  <c r="AF45" i="7"/>
  <c r="AE45" i="7" s="1"/>
  <c r="AL45" i="7"/>
  <c r="AJ45" i="7"/>
  <c r="M25" i="6"/>
  <c r="M33" i="6"/>
  <c r="O37" i="6"/>
  <c r="E35" i="2" s="1"/>
  <c r="N40" i="6"/>
  <c r="E38" i="2" s="1"/>
  <c r="Q46" i="6"/>
  <c r="E44" i="3" s="1"/>
  <c r="U4" i="7"/>
  <c r="AM4" i="7" s="1"/>
  <c r="AO5" i="7"/>
  <c r="AQ5" i="7" s="1"/>
  <c r="F5" i="3" s="1"/>
  <c r="AK8" i="7"/>
  <c r="AI8" i="7"/>
  <c r="T9" i="7"/>
  <c r="S9" i="7" s="1"/>
  <c r="AN9" i="7"/>
  <c r="AO10" i="7"/>
  <c r="AK13" i="7"/>
  <c r="AI13" i="7"/>
  <c r="AO13" i="7" s="1"/>
  <c r="AN14" i="7"/>
  <c r="AH15" i="7"/>
  <c r="AN15" i="7" s="1"/>
  <c r="AG17" i="7"/>
  <c r="AL26" i="7"/>
  <c r="AJ26" i="7"/>
  <c r="AG31" i="7"/>
  <c r="AP42" i="7"/>
  <c r="M29" i="6"/>
  <c r="M36" i="6"/>
  <c r="P52" i="6"/>
  <c r="AG4" i="7"/>
  <c r="AG6" i="7"/>
  <c r="U10" i="7"/>
  <c r="AM10" i="7" s="1"/>
  <c r="AG10" i="7"/>
  <c r="AH11" i="7"/>
  <c r="AN11" i="7" s="1"/>
  <c r="AH17" i="7"/>
  <c r="AN17" i="7" s="1"/>
  <c r="U23" i="7"/>
  <c r="AM23" i="7" s="1"/>
  <c r="AI23" i="7"/>
  <c r="T23" i="7"/>
  <c r="S23" i="7" s="1"/>
  <c r="AJ27" i="7"/>
  <c r="AL33" i="7"/>
  <c r="AJ33" i="7"/>
  <c r="AP33" i="7" s="1"/>
  <c r="AK40" i="7"/>
  <c r="AN46" i="7"/>
  <c r="O33" i="6"/>
  <c r="O46" i="6"/>
  <c r="E44" i="2" s="1"/>
  <c r="O50" i="6"/>
  <c r="AK5" i="7"/>
  <c r="AH6" i="7"/>
  <c r="AH12" i="7"/>
  <c r="AN12" i="7" s="1"/>
  <c r="U24" i="7"/>
  <c r="AM24" i="7" s="1"/>
  <c r="T30" i="7"/>
  <c r="S30" i="7" s="1"/>
  <c r="AL32" i="7"/>
  <c r="AJ32" i="7"/>
  <c r="AO37" i="7"/>
  <c r="O14" i="6"/>
  <c r="E12" i="2" s="1"/>
  <c r="O22" i="6"/>
  <c r="E20" i="2" s="1"/>
  <c r="O29" i="6"/>
  <c r="M32" i="6"/>
  <c r="O38" i="6"/>
  <c r="E36" i="2" s="1"/>
  <c r="M41" i="6"/>
  <c r="Q48" i="6"/>
  <c r="E46" i="3" s="1"/>
  <c r="AJ4" i="7"/>
  <c r="AP4" i="7" s="1"/>
  <c r="AJ6" i="7"/>
  <c r="AP6" i="7" s="1"/>
  <c r="AJ8" i="7"/>
  <c r="AL8" i="7"/>
  <c r="AL13" i="7"/>
  <c r="AO21" i="7"/>
  <c r="T26" i="7"/>
  <c r="S26" i="7" s="1"/>
  <c r="AI35" i="7"/>
  <c r="AI36" i="7"/>
  <c r="AO36" i="7" s="1"/>
  <c r="U40" i="7"/>
  <c r="AM40" i="7" s="1"/>
  <c r="AK42" i="7"/>
  <c r="AO42" i="7" s="1"/>
  <c r="AH43" i="7"/>
  <c r="AJ46" i="7"/>
  <c r="AL46" i="7"/>
  <c r="M50" i="6"/>
  <c r="P53" i="6"/>
  <c r="E51" i="2" s="1"/>
  <c r="AF6" i="7"/>
  <c r="AE6" i="7" s="1"/>
  <c r="AJ17" i="7"/>
  <c r="AP17" i="7" s="1"/>
  <c r="AG18" i="7"/>
  <c r="AG19" i="7"/>
  <c r="AH21" i="7"/>
  <c r="AN21" i="7" s="1"/>
  <c r="AK25" i="7"/>
  <c r="AI27" i="7"/>
  <c r="AO27" i="7" s="1"/>
  <c r="T27" i="7"/>
  <c r="S27" i="7" s="1"/>
  <c r="U29" i="7"/>
  <c r="AM29" i="7" s="1"/>
  <c r="U34" i="7"/>
  <c r="AM34" i="7" s="1"/>
  <c r="AH37" i="7"/>
  <c r="AN37" i="7" s="1"/>
  <c r="AO48" i="7"/>
  <c r="AJ50" i="7"/>
  <c r="AP50" i="7" s="1"/>
  <c r="AL50" i="7"/>
  <c r="AG49" i="7"/>
  <c r="AF7" i="7"/>
  <c r="AE7" i="7" s="1"/>
  <c r="U8" i="7"/>
  <c r="AM8" i="7" s="1"/>
  <c r="AL15" i="7"/>
  <c r="AP15" i="7" s="1"/>
  <c r="AJ18" i="7"/>
  <c r="AL18" i="7"/>
  <c r="AL19" i="7"/>
  <c r="AP19" i="7" s="1"/>
  <c r="AL20" i="7"/>
  <c r="AJ20" i="7"/>
  <c r="AP20" i="7" s="1"/>
  <c r="AG27" i="7"/>
  <c r="U28" i="7"/>
  <c r="AM28" i="7" s="1"/>
  <c r="AG28" i="7"/>
  <c r="AG29" i="7"/>
  <c r="AN35" i="7"/>
  <c r="AL36" i="7"/>
  <c r="AJ36" i="7"/>
  <c r="T42" i="7"/>
  <c r="S42" i="7" s="1"/>
  <c r="U43" i="7"/>
  <c r="AM43" i="7" s="1"/>
  <c r="AI44" i="7"/>
  <c r="AK44" i="7"/>
  <c r="AK47" i="7"/>
  <c r="N52" i="6"/>
  <c r="E50" i="2" s="1"/>
  <c r="AI4" i="7"/>
  <c r="AO4" i="7" s="1"/>
  <c r="AF5" i="7"/>
  <c r="AE5" i="7" s="1"/>
  <c r="U6" i="7"/>
  <c r="AM6" i="7" s="1"/>
  <c r="AI6" i="7"/>
  <c r="AO6" i="7" s="1"/>
  <c r="U9" i="7"/>
  <c r="AM9" i="7" s="1"/>
  <c r="AH10" i="7"/>
  <c r="AN10" i="7" s="1"/>
  <c r="AK11" i="7"/>
  <c r="AG13" i="7"/>
  <c r="AI14" i="7"/>
  <c r="AO14" i="7" s="1"/>
  <c r="T18" i="7"/>
  <c r="S18" i="7" s="1"/>
  <c r="AL24" i="7"/>
  <c r="AJ24" i="7"/>
  <c r="AP24" i="7" s="1"/>
  <c r="AH27" i="7"/>
  <c r="AN27" i="7" s="1"/>
  <c r="AH28" i="7"/>
  <c r="AN28" i="7" s="1"/>
  <c r="AG30" i="7"/>
  <c r="AL40" i="7"/>
  <c r="AJ40" i="7"/>
  <c r="AP40" i="7" s="1"/>
  <c r="U46" i="7"/>
  <c r="AM46" i="7" s="1"/>
  <c r="AH4" i="7"/>
  <c r="AN4" i="7" s="1"/>
  <c r="U7" i="7"/>
  <c r="AM7" i="7" s="1"/>
  <c r="AH8" i="7"/>
  <c r="AN8" i="7" s="1"/>
  <c r="AI9" i="7"/>
  <c r="AO9" i="7" s="1"/>
  <c r="AJ10" i="7"/>
  <c r="AP10" i="7" s="1"/>
  <c r="AI11" i="7"/>
  <c r="AH13" i="7"/>
  <c r="U14" i="7"/>
  <c r="AM14" i="7" s="1"/>
  <c r="AH16" i="7"/>
  <c r="AN16" i="7" s="1"/>
  <c r="AQ16" i="7" s="1"/>
  <c r="F16" i="3" s="1"/>
  <c r="AF18" i="7"/>
  <c r="AE18" i="7" s="1"/>
  <c r="AI19" i="7"/>
  <c r="AO19" i="7" s="1"/>
  <c r="T19" i="7"/>
  <c r="S19" i="7" s="1"/>
  <c r="AL25" i="7"/>
  <c r="AJ25" i="7"/>
  <c r="AP25" i="7" s="1"/>
  <c r="AH26" i="7"/>
  <c r="AL29" i="7"/>
  <c r="AJ29" i="7"/>
  <c r="AP29" i="7" s="1"/>
  <c r="AH31" i="7"/>
  <c r="AN31" i="7" s="1"/>
  <c r="AG43" i="7"/>
  <c r="AH45" i="7"/>
  <c r="AF11" i="7"/>
  <c r="AE11" i="7" s="1"/>
  <c r="AF15" i="7"/>
  <c r="AE15" i="7" s="1"/>
  <c r="AL21" i="7"/>
  <c r="AH23" i="7"/>
  <c r="AN23" i="7" s="1"/>
  <c r="AL28" i="7"/>
  <c r="AJ28" i="7"/>
  <c r="AP28" i="7" s="1"/>
  <c r="AK29" i="7"/>
  <c r="AH30" i="7"/>
  <c r="U31" i="7"/>
  <c r="AM31" i="7" s="1"/>
  <c r="AG32" i="7"/>
  <c r="AO32" i="7"/>
  <c r="AL37" i="7"/>
  <c r="AP37" i="7" s="1"/>
  <c r="AH39" i="7"/>
  <c r="AN39" i="7" s="1"/>
  <c r="U42" i="7"/>
  <c r="AM42" i="7" s="1"/>
  <c r="T43" i="7"/>
  <c r="S43" i="7" s="1"/>
  <c r="AF43" i="7"/>
  <c r="AE43" i="7" s="1"/>
  <c r="U45" i="7"/>
  <c r="AM45" i="7" s="1"/>
  <c r="AG46" i="7"/>
  <c r="AF47" i="7"/>
  <c r="AE47" i="7" s="1"/>
  <c r="AG48" i="7"/>
  <c r="AH49" i="7"/>
  <c r="AN49" i="7" s="1"/>
  <c r="AJ5" i="7"/>
  <c r="AP5" i="7" s="1"/>
  <c r="AJ7" i="7"/>
  <c r="AJ9" i="7"/>
  <c r="U11" i="7"/>
  <c r="AM11" i="7" s="1"/>
  <c r="AJ12" i="7"/>
  <c r="U15" i="7"/>
  <c r="AM15" i="7" s="1"/>
  <c r="AJ16" i="7"/>
  <c r="AP16" i="7" s="1"/>
  <c r="AL23" i="7"/>
  <c r="AP23" i="7" s="1"/>
  <c r="AN25" i="7"/>
  <c r="AL30" i="7"/>
  <c r="AJ30" i="7"/>
  <c r="AK31" i="7"/>
  <c r="AH32" i="7"/>
  <c r="AN32" i="7" s="1"/>
  <c r="U33" i="7"/>
  <c r="AM33" i="7" s="1"/>
  <c r="AL39" i="7"/>
  <c r="AP39" i="7" s="1"/>
  <c r="AL41" i="7"/>
  <c r="AP41" i="7" s="1"/>
  <c r="AK45" i="7"/>
  <c r="U47" i="7"/>
  <c r="AM47" i="7" s="1"/>
  <c r="AH48" i="7"/>
  <c r="T50" i="7"/>
  <c r="S50" i="7" s="1"/>
  <c r="AJ48" i="7"/>
  <c r="AL48" i="7"/>
  <c r="AL5" i="7"/>
  <c r="AL7" i="7"/>
  <c r="AL9" i="7"/>
  <c r="AL12" i="7"/>
  <c r="AJ13" i="7"/>
  <c r="AL16" i="7"/>
  <c r="AH20" i="7"/>
  <c r="AN20" i="7" s="1"/>
  <c r="U21" i="7"/>
  <c r="AM21" i="7" s="1"/>
  <c r="AG22" i="7"/>
  <c r="AN22" i="7" s="1"/>
  <c r="AL27" i="7"/>
  <c r="AH29" i="7"/>
  <c r="AL34" i="7"/>
  <c r="AJ34" i="7"/>
  <c r="AP34" i="7" s="1"/>
  <c r="AK35" i="7"/>
  <c r="AH36" i="7"/>
  <c r="AN36" i="7" s="1"/>
  <c r="U37" i="7"/>
  <c r="AM37" i="7" s="1"/>
  <c r="AG38" i="7"/>
  <c r="AN38" i="7" s="1"/>
  <c r="U44" i="7"/>
  <c r="AM44" i="7" s="1"/>
  <c r="AL44" i="7"/>
  <c r="T48" i="7"/>
  <c r="S48" i="7" s="1"/>
  <c r="U39" i="7"/>
  <c r="AM39" i="7" s="1"/>
  <c r="AG45" i="7"/>
  <c r="U49" i="7"/>
  <c r="AM49" i="7" s="1"/>
  <c r="AK50" i="7"/>
  <c r="AO50" i="7" s="1"/>
  <c r="U13" i="7"/>
  <c r="AM13" i="7" s="1"/>
  <c r="AJ14" i="7"/>
  <c r="AP14" i="7" s="1"/>
  <c r="U17" i="7"/>
  <c r="AM17" i="7" s="1"/>
  <c r="AF19" i="7"/>
  <c r="AE19" i="7" s="1"/>
  <c r="AL22" i="7"/>
  <c r="AJ22" i="7"/>
  <c r="AK23" i="7"/>
  <c r="AH24" i="7"/>
  <c r="AN24" i="7" s="1"/>
  <c r="U25" i="7"/>
  <c r="AM25" i="7" s="1"/>
  <c r="AG26" i="7"/>
  <c r="AL31" i="7"/>
  <c r="AH33" i="7"/>
  <c r="AN33" i="7" s="1"/>
  <c r="AL38" i="7"/>
  <c r="AJ38" i="7"/>
  <c r="AK39" i="7"/>
  <c r="AO39" i="7" s="1"/>
  <c r="AH40" i="7"/>
  <c r="AN40" i="7" s="1"/>
  <c r="AI41" i="7"/>
  <c r="AO41" i="7" s="1"/>
  <c r="AQ41" i="7" s="1"/>
  <c r="F41" i="3" s="1"/>
  <c r="AF42" i="7"/>
  <c r="AE42" i="7" s="1"/>
  <c r="AL42" i="7"/>
  <c r="AK46" i="7"/>
  <c r="AG47" i="7"/>
  <c r="AN47" i="7" s="1"/>
  <c r="AJ47" i="7"/>
  <c r="AP47" i="7" s="1"/>
  <c r="U50" i="7"/>
  <c r="AM50" i="7" s="1"/>
  <c r="AJ44" i="7"/>
  <c r="AP44" i="7" s="1"/>
  <c r="AI45" i="7"/>
  <c r="AI47" i="7"/>
  <c r="AO47" i="7" s="1"/>
  <c r="AI49" i="7"/>
  <c r="AO49" i="7" s="1"/>
  <c r="AI51" i="7"/>
  <c r="AO51" i="7" s="1"/>
  <c r="AQ51" i="7" s="1"/>
  <c r="F51" i="3" s="1"/>
  <c r="AJ49" i="7"/>
  <c r="AP49" i="7" s="1"/>
  <c r="AJ51" i="7"/>
  <c r="AP51" i="7" s="1"/>
  <c r="F22" i="2" l="1"/>
  <c r="G22" i="2" s="1"/>
  <c r="AQ18" i="7"/>
  <c r="F18" i="3" s="1"/>
  <c r="G18" i="3" s="1"/>
  <c r="C24" i="2"/>
  <c r="AL24" i="5"/>
  <c r="C24" i="3" s="1"/>
  <c r="D24" i="3" s="1"/>
  <c r="C20" i="2"/>
  <c r="AL20" i="5"/>
  <c r="C20" i="3" s="1"/>
  <c r="D20" i="3" s="1"/>
  <c r="AP18" i="7"/>
  <c r="F18" i="2" s="1"/>
  <c r="G18" i="2" s="1"/>
  <c r="G51" i="3"/>
  <c r="Q32" i="6"/>
  <c r="E30" i="3" s="1"/>
  <c r="E30" i="2"/>
  <c r="AQ33" i="7"/>
  <c r="F33" i="3" s="1"/>
  <c r="G33" i="3" s="1"/>
  <c r="F33" i="2"/>
  <c r="G33" i="2" s="1"/>
  <c r="AQ17" i="7"/>
  <c r="F17" i="3" s="1"/>
  <c r="F17" i="2"/>
  <c r="G17" i="2" s="1"/>
  <c r="AN29" i="7"/>
  <c r="AQ29" i="7" s="1"/>
  <c r="F29" i="3" s="1"/>
  <c r="G29" i="3" s="1"/>
  <c r="AQ47" i="7"/>
  <c r="F47" i="3" s="1"/>
  <c r="G47" i="3" s="1"/>
  <c r="F47" i="2"/>
  <c r="G47" i="2" s="1"/>
  <c r="AP7" i="7"/>
  <c r="AN45" i="7"/>
  <c r="AO35" i="7"/>
  <c r="AQ35" i="7" s="1"/>
  <c r="F35" i="3" s="1"/>
  <c r="AP32" i="7"/>
  <c r="AQ32" i="7" s="1"/>
  <c r="F32" i="3" s="1"/>
  <c r="AO23" i="7"/>
  <c r="AP45" i="7"/>
  <c r="AO31" i="7"/>
  <c r="AO46" i="7"/>
  <c r="Q21" i="6"/>
  <c r="E19" i="3" s="1"/>
  <c r="G19" i="3" s="1"/>
  <c r="E19" i="2"/>
  <c r="Q34" i="6"/>
  <c r="E32" i="3" s="1"/>
  <c r="G32" i="3" s="1"/>
  <c r="E32" i="2"/>
  <c r="AL36" i="5"/>
  <c r="C36" i="3" s="1"/>
  <c r="AL47" i="5"/>
  <c r="C47" i="3" s="1"/>
  <c r="C47" i="2"/>
  <c r="Q38" i="6"/>
  <c r="E36" i="3" s="1"/>
  <c r="AL22" i="5"/>
  <c r="C22" i="3" s="1"/>
  <c r="D22" i="3" s="1"/>
  <c r="C27" i="2"/>
  <c r="D27" i="2" s="1"/>
  <c r="AK42" i="5"/>
  <c r="AL42" i="5" s="1"/>
  <c r="C42" i="3" s="1"/>
  <c r="D42" i="3" s="1"/>
  <c r="C43" i="2"/>
  <c r="Q14" i="6"/>
  <c r="E12" i="3" s="1"/>
  <c r="AL29" i="5"/>
  <c r="C29" i="3" s="1"/>
  <c r="D29" i="3" s="1"/>
  <c r="AJ21" i="5"/>
  <c r="AK17" i="5"/>
  <c r="AL17" i="5" s="1"/>
  <c r="C17" i="3" s="1"/>
  <c r="D17" i="3" s="1"/>
  <c r="AL4" i="5"/>
  <c r="C4" i="3" s="1"/>
  <c r="B19" i="2"/>
  <c r="D6" i="2"/>
  <c r="D26" i="2"/>
  <c r="B21" i="2"/>
  <c r="B36" i="2"/>
  <c r="D36" i="2" s="1"/>
  <c r="Q41" i="6"/>
  <c r="E39" i="3" s="1"/>
  <c r="E39" i="2"/>
  <c r="G39" i="2" s="1"/>
  <c r="Q36" i="6"/>
  <c r="E34" i="3" s="1"/>
  <c r="E34" i="2"/>
  <c r="F19" i="2"/>
  <c r="Q13" i="6"/>
  <c r="E11" i="3" s="1"/>
  <c r="E11" i="2"/>
  <c r="Q6" i="6"/>
  <c r="E4" i="3" s="1"/>
  <c r="E4" i="2"/>
  <c r="Q17" i="6"/>
  <c r="E15" i="3" s="1"/>
  <c r="E15" i="2"/>
  <c r="G15" i="2" s="1"/>
  <c r="AK43" i="5"/>
  <c r="C26" i="2"/>
  <c r="AK39" i="5"/>
  <c r="C39" i="2" s="1"/>
  <c r="C25" i="2"/>
  <c r="D25" i="2" s="1"/>
  <c r="AK23" i="5"/>
  <c r="AL23" i="5" s="1"/>
  <c r="C23" i="3" s="1"/>
  <c r="D45" i="3"/>
  <c r="C30" i="2"/>
  <c r="AL5" i="5"/>
  <c r="C5" i="3" s="1"/>
  <c r="C5" i="2"/>
  <c r="D20" i="2"/>
  <c r="D35" i="2"/>
  <c r="D14" i="2"/>
  <c r="D34" i="2"/>
  <c r="G20" i="3"/>
  <c r="C51" i="2"/>
  <c r="AK13" i="5"/>
  <c r="AL13" i="5"/>
  <c r="C13" i="3" s="1"/>
  <c r="D13" i="3" s="1"/>
  <c r="C13" i="2"/>
  <c r="AK8" i="5"/>
  <c r="D18" i="3"/>
  <c r="D30" i="2"/>
  <c r="D46" i="2"/>
  <c r="D29" i="2"/>
  <c r="D5" i="3"/>
  <c r="AQ37" i="7"/>
  <c r="F37" i="3" s="1"/>
  <c r="G37" i="3" s="1"/>
  <c r="F37" i="2"/>
  <c r="G37" i="2" s="1"/>
  <c r="AO7" i="7"/>
  <c r="AQ7" i="7" s="1"/>
  <c r="F7" i="3" s="1"/>
  <c r="C35" i="2"/>
  <c r="D50" i="3"/>
  <c r="B15" i="2"/>
  <c r="D10" i="3"/>
  <c r="D4" i="2"/>
  <c r="D19" i="3"/>
  <c r="F35" i="2"/>
  <c r="G35" i="2" s="1"/>
  <c r="AL39" i="5"/>
  <c r="C39" i="3" s="1"/>
  <c r="AL49" i="5"/>
  <c r="C49" i="3" s="1"/>
  <c r="D49" i="3" s="1"/>
  <c r="C49" i="2"/>
  <c r="AP48" i="7"/>
  <c r="Q9" i="6"/>
  <c r="E7" i="3" s="1"/>
  <c r="E7" i="2"/>
  <c r="AL25" i="5"/>
  <c r="C25" i="3" s="1"/>
  <c r="D25" i="3" s="1"/>
  <c r="C12" i="2"/>
  <c r="D12" i="2" s="1"/>
  <c r="D41" i="3"/>
  <c r="AJ11" i="5"/>
  <c r="AL11" i="5" s="1"/>
  <c r="C11" i="3" s="1"/>
  <c r="D11" i="3" s="1"/>
  <c r="AL26" i="5"/>
  <c r="C26" i="3" s="1"/>
  <c r="D26" i="3" s="1"/>
  <c r="D44" i="2"/>
  <c r="D9" i="3"/>
  <c r="B50" i="2"/>
  <c r="D5" i="2"/>
  <c r="D36" i="3"/>
  <c r="AQ23" i="7"/>
  <c r="F23" i="3" s="1"/>
  <c r="F23" i="2"/>
  <c r="AQ25" i="7"/>
  <c r="F25" i="3" s="1"/>
  <c r="F25" i="2"/>
  <c r="G25" i="2" s="1"/>
  <c r="F7" i="2"/>
  <c r="Q29" i="6"/>
  <c r="E27" i="3" s="1"/>
  <c r="E27" i="2"/>
  <c r="G16" i="3"/>
  <c r="AQ24" i="7"/>
  <c r="F24" i="3" s="1"/>
  <c r="G24" i="3" s="1"/>
  <c r="F24" i="2"/>
  <c r="G24" i="2" s="1"/>
  <c r="AL41" i="5"/>
  <c r="C41" i="3" s="1"/>
  <c r="AQ50" i="7"/>
  <c r="F50" i="3" s="1"/>
  <c r="F50" i="2"/>
  <c r="F20" i="2"/>
  <c r="G20" i="2" s="1"/>
  <c r="AQ28" i="7"/>
  <c r="F28" i="3" s="1"/>
  <c r="G28" i="3" s="1"/>
  <c r="F28" i="2"/>
  <c r="G28" i="2" s="1"/>
  <c r="AP43" i="7"/>
  <c r="G42" i="3"/>
  <c r="C23" i="2"/>
  <c r="D23" i="2" s="1"/>
  <c r="AJ40" i="5"/>
  <c r="AL40" i="5" s="1"/>
  <c r="C40" i="3" s="1"/>
  <c r="D40" i="3" s="1"/>
  <c r="AP38" i="7"/>
  <c r="F38" i="2" s="1"/>
  <c r="G38" i="2" s="1"/>
  <c r="AP22" i="7"/>
  <c r="AQ22" i="7" s="1"/>
  <c r="F22" i="3" s="1"/>
  <c r="G22" i="3" s="1"/>
  <c r="AP12" i="7"/>
  <c r="AN26" i="7"/>
  <c r="AN13" i="7"/>
  <c r="AQ13" i="7" s="1"/>
  <c r="F13" i="3" s="1"/>
  <c r="AP8" i="7"/>
  <c r="AN6" i="7"/>
  <c r="AQ6" i="7" s="1"/>
  <c r="F6" i="3" s="1"/>
  <c r="G6" i="3" s="1"/>
  <c r="AQ10" i="7"/>
  <c r="F10" i="3" s="1"/>
  <c r="G10" i="3" s="1"/>
  <c r="F10" i="2"/>
  <c r="G10" i="2" s="1"/>
  <c r="AP26" i="7"/>
  <c r="Q37" i="6"/>
  <c r="E35" i="3" s="1"/>
  <c r="E9" i="2"/>
  <c r="Q27" i="6"/>
  <c r="E25" i="3" s="1"/>
  <c r="G25" i="3" s="1"/>
  <c r="AL46" i="5"/>
  <c r="C46" i="3" s="1"/>
  <c r="C46" i="2"/>
  <c r="AK21" i="5"/>
  <c r="C21" i="2" s="1"/>
  <c r="AK48" i="5"/>
  <c r="AL48" i="5" s="1"/>
  <c r="C48" i="3" s="1"/>
  <c r="D48" i="3" s="1"/>
  <c r="AK44" i="5"/>
  <c r="AL44" i="5" s="1"/>
  <c r="C44" i="3" s="1"/>
  <c r="D44" i="3" s="1"/>
  <c r="AK45" i="5"/>
  <c r="AL45" i="5" s="1"/>
  <c r="C45" i="3" s="1"/>
  <c r="AK14" i="5"/>
  <c r="AL14" i="5" s="1"/>
  <c r="C14" i="3" s="1"/>
  <c r="D14" i="3" s="1"/>
  <c r="AK38" i="5"/>
  <c r="C38" i="2" s="1"/>
  <c r="D38" i="2" s="1"/>
  <c r="AK31" i="5"/>
  <c r="AL31" i="5" s="1"/>
  <c r="C31" i="3" s="1"/>
  <c r="D31" i="3" s="1"/>
  <c r="AK15" i="5"/>
  <c r="AL15" i="5" s="1"/>
  <c r="C15" i="3" s="1"/>
  <c r="D15" i="3" s="1"/>
  <c r="AK10" i="5"/>
  <c r="AL10" i="5" s="1"/>
  <c r="C10" i="3" s="1"/>
  <c r="D37" i="3"/>
  <c r="B16" i="3"/>
  <c r="D16" i="3" s="1"/>
  <c r="B16" i="2"/>
  <c r="D16" i="2" s="1"/>
  <c r="D23" i="3"/>
  <c r="B10" i="2"/>
  <c r="B9" i="2"/>
  <c r="B41" i="2"/>
  <c r="D41" i="2" s="1"/>
  <c r="G50" i="2"/>
  <c r="AO45" i="7"/>
  <c r="AQ45" i="7" s="1"/>
  <c r="F45" i="3" s="1"/>
  <c r="G45" i="3" s="1"/>
  <c r="AQ19" i="7"/>
  <c r="F19" i="3" s="1"/>
  <c r="AQ21" i="7"/>
  <c r="F21" i="3" s="1"/>
  <c r="G21" i="3" s="1"/>
  <c r="F21" i="2"/>
  <c r="F16" i="2"/>
  <c r="G16" i="2" s="1"/>
  <c r="AN43" i="7"/>
  <c r="F43" i="2" s="1"/>
  <c r="G43" i="2" s="1"/>
  <c r="AO34" i="7"/>
  <c r="F34" i="2" s="1"/>
  <c r="AP31" i="7"/>
  <c r="C50" i="2"/>
  <c r="AQ39" i="7"/>
  <c r="F39" i="3" s="1"/>
  <c r="F39" i="2"/>
  <c r="AP13" i="7"/>
  <c r="AQ31" i="7"/>
  <c r="F31" i="3" s="1"/>
  <c r="F31" i="2"/>
  <c r="AO11" i="7"/>
  <c r="AQ11" i="7" s="1"/>
  <c r="F11" i="3" s="1"/>
  <c r="AP27" i="7"/>
  <c r="F27" i="2" s="1"/>
  <c r="Q33" i="6"/>
  <c r="E31" i="3" s="1"/>
  <c r="E31" i="2"/>
  <c r="G31" i="2" s="1"/>
  <c r="AO40" i="7"/>
  <c r="AQ40" i="7" s="1"/>
  <c r="F40" i="3" s="1"/>
  <c r="G40" i="3" s="1"/>
  <c r="AO29" i="7"/>
  <c r="Q19" i="6"/>
  <c r="E17" i="3" s="1"/>
  <c r="C45" i="2"/>
  <c r="AQ12" i="7"/>
  <c r="F12" i="3" s="1"/>
  <c r="F12" i="2"/>
  <c r="G12" i="2" s="1"/>
  <c r="Q40" i="6"/>
  <c r="E38" i="3" s="1"/>
  <c r="AL34" i="5"/>
  <c r="C34" i="3" s="1"/>
  <c r="D34" i="3" s="1"/>
  <c r="AL8" i="5"/>
  <c r="C8" i="3" s="1"/>
  <c r="D8" i="3" s="1"/>
  <c r="C8" i="2"/>
  <c r="C14" i="2"/>
  <c r="D39" i="3"/>
  <c r="D47" i="3"/>
  <c r="C19" i="2"/>
  <c r="B43" i="2"/>
  <c r="D43" i="2" s="1"/>
  <c r="B39" i="2"/>
  <c r="B18" i="2"/>
  <c r="D18" i="2" s="1"/>
  <c r="D13" i="2"/>
  <c r="B45" i="2"/>
  <c r="D45" i="2" s="1"/>
  <c r="B8" i="2"/>
  <c r="AQ42" i="7"/>
  <c r="F42" i="3" s="1"/>
  <c r="F42" i="2"/>
  <c r="G42" i="2" s="1"/>
  <c r="F5" i="2"/>
  <c r="G5" i="2" s="1"/>
  <c r="F41" i="2"/>
  <c r="G41" i="2" s="1"/>
  <c r="AP46" i="7"/>
  <c r="F46" i="2" s="1"/>
  <c r="G46" i="2" s="1"/>
  <c r="AQ4" i="7"/>
  <c r="F4" i="3" s="1"/>
  <c r="F4" i="2"/>
  <c r="G5" i="3"/>
  <c r="AQ49" i="7"/>
  <c r="F49" i="3" s="1"/>
  <c r="G49" i="3" s="1"/>
  <c r="F49" i="2"/>
  <c r="G49" i="2" s="1"/>
  <c r="AQ15" i="7"/>
  <c r="F15" i="3" s="1"/>
  <c r="F15" i="2"/>
  <c r="AQ14" i="7"/>
  <c r="F14" i="3" s="1"/>
  <c r="G14" i="3" s="1"/>
  <c r="F14" i="2"/>
  <c r="G14" i="2" s="1"/>
  <c r="AO44" i="7"/>
  <c r="AQ44" i="7" s="1"/>
  <c r="F44" i="3" s="1"/>
  <c r="G44" i="3" s="1"/>
  <c r="C33" i="2"/>
  <c r="D33" i="2" s="1"/>
  <c r="Q15" i="6"/>
  <c r="E13" i="3" s="1"/>
  <c r="F51" i="2"/>
  <c r="G51" i="2" s="1"/>
  <c r="AN48" i="7"/>
  <c r="AP30" i="7"/>
  <c r="AP9" i="7"/>
  <c r="AQ9" i="7" s="1"/>
  <c r="F9" i="3" s="1"/>
  <c r="AN30" i="7"/>
  <c r="AQ30" i="7" s="1"/>
  <c r="F30" i="3" s="1"/>
  <c r="AP36" i="7"/>
  <c r="AQ36" i="7" s="1"/>
  <c r="F36" i="3" s="1"/>
  <c r="AQ27" i="7"/>
  <c r="F27" i="3" s="1"/>
  <c r="Q50" i="6"/>
  <c r="E48" i="3" s="1"/>
  <c r="E48" i="2"/>
  <c r="AO8" i="7"/>
  <c r="F8" i="2" s="1"/>
  <c r="G8" i="2" s="1"/>
  <c r="Q25" i="6"/>
  <c r="E23" i="3" s="1"/>
  <c r="G23" i="3" s="1"/>
  <c r="E23" i="2"/>
  <c r="G23" i="2" s="1"/>
  <c r="Q52" i="6"/>
  <c r="E50" i="3" s="1"/>
  <c r="AO26" i="7"/>
  <c r="AO30" i="7"/>
  <c r="F30" i="2" s="1"/>
  <c r="Q28" i="6"/>
  <c r="E26" i="3" s="1"/>
  <c r="E26" i="2"/>
  <c r="G41" i="3"/>
  <c r="C44" i="2"/>
  <c r="Q11" i="6"/>
  <c r="E9" i="3" s="1"/>
  <c r="AK28" i="5"/>
  <c r="C28" i="2" s="1"/>
  <c r="D28" i="2" s="1"/>
  <c r="G21" i="2"/>
  <c r="AL30" i="5"/>
  <c r="C30" i="3" s="1"/>
  <c r="D30" i="3" s="1"/>
  <c r="AL43" i="5"/>
  <c r="C43" i="3" s="1"/>
  <c r="D43" i="3" s="1"/>
  <c r="C4" i="2"/>
  <c r="C32" i="2"/>
  <c r="D32" i="2" s="1"/>
  <c r="AJ33" i="5"/>
  <c r="AL33" i="5" s="1"/>
  <c r="C33" i="3" s="1"/>
  <c r="D33" i="3" s="1"/>
  <c r="AL6" i="5"/>
  <c r="C6" i="3" s="1"/>
  <c r="D6" i="3" s="1"/>
  <c r="AK7" i="5"/>
  <c r="AL7" i="5" s="1"/>
  <c r="C7" i="3" s="1"/>
  <c r="D7" i="3" s="1"/>
  <c r="AJ9" i="5"/>
  <c r="AL9" i="5" s="1"/>
  <c r="C9" i="3" s="1"/>
  <c r="D46" i="3"/>
  <c r="D24" i="2"/>
  <c r="B47" i="2"/>
  <c r="D47" i="2" s="1"/>
  <c r="D51" i="2"/>
  <c r="D35" i="3"/>
  <c r="B22" i="2"/>
  <c r="D22" i="2" s="1"/>
  <c r="B49" i="2"/>
  <c r="D49" i="2" s="1"/>
  <c r="C15" i="2" l="1"/>
  <c r="F48" i="2"/>
  <c r="G48" i="2" s="1"/>
  <c r="AQ48" i="7"/>
  <c r="F48" i="3" s="1"/>
  <c r="G48" i="3" s="1"/>
  <c r="C31" i="2"/>
  <c r="D31" i="2" s="1"/>
  <c r="AQ43" i="7"/>
  <c r="F43" i="3" s="1"/>
  <c r="G43" i="3" s="1"/>
  <c r="G27" i="3"/>
  <c r="G11" i="3"/>
  <c r="C9" i="2"/>
  <c r="D9" i="2" s="1"/>
  <c r="D4" i="3"/>
  <c r="D50" i="2"/>
  <c r="F13" i="2"/>
  <c r="G13" i="2" s="1"/>
  <c r="C48" i="2"/>
  <c r="D48" i="2" s="1"/>
  <c r="G31" i="3"/>
  <c r="AQ46" i="7"/>
  <c r="F46" i="3" s="1"/>
  <c r="G46" i="3" s="1"/>
  <c r="AL28" i="5"/>
  <c r="C28" i="3" s="1"/>
  <c r="D28" i="3" s="1"/>
  <c r="D21" i="2"/>
  <c r="AL21" i="5"/>
  <c r="C21" i="3" s="1"/>
  <c r="D21" i="3" s="1"/>
  <c r="G19" i="2"/>
  <c r="F45" i="2"/>
  <c r="G45" i="2" s="1"/>
  <c r="G7" i="2"/>
  <c r="G9" i="3"/>
  <c r="G50" i="3"/>
  <c r="D39" i="2"/>
  <c r="F11" i="2"/>
  <c r="AQ8" i="7"/>
  <c r="F8" i="3" s="1"/>
  <c r="G8" i="3" s="1"/>
  <c r="C10" i="2"/>
  <c r="AL38" i="5"/>
  <c r="C38" i="3" s="1"/>
  <c r="D38" i="3" s="1"/>
  <c r="F40" i="2"/>
  <c r="G40" i="2" s="1"/>
  <c r="F29" i="2"/>
  <c r="G29" i="2" s="1"/>
  <c r="G7" i="3"/>
  <c r="D15" i="2"/>
  <c r="G4" i="2"/>
  <c r="G39" i="3"/>
  <c r="G36" i="3"/>
  <c r="C7" i="2"/>
  <c r="D7" i="2" s="1"/>
  <c r="G9" i="2"/>
  <c r="G15" i="3"/>
  <c r="AQ34" i="7"/>
  <c r="F34" i="3" s="1"/>
  <c r="G34" i="3" s="1"/>
  <c r="D8" i="2"/>
  <c r="G17" i="3"/>
  <c r="F6" i="2"/>
  <c r="G6" i="2" s="1"/>
  <c r="F9" i="2"/>
  <c r="C11" i="2"/>
  <c r="D11" i="2" s="1"/>
  <c r="F32" i="2"/>
  <c r="G32" i="2" s="1"/>
  <c r="F36" i="2"/>
  <c r="G36" i="2" s="1"/>
  <c r="G4" i="3"/>
  <c r="E52" i="3"/>
  <c r="F44" i="2"/>
  <c r="G44" i="2" s="1"/>
  <c r="G30" i="2"/>
  <c r="AQ38" i="7"/>
  <c r="F38" i="3" s="1"/>
  <c r="G13" i="3"/>
  <c r="G38" i="3"/>
  <c r="G34" i="2"/>
  <c r="G35" i="3"/>
  <c r="F26" i="2"/>
  <c r="G26" i="2" s="1"/>
  <c r="AQ26" i="7"/>
  <c r="F26" i="3" s="1"/>
  <c r="G26" i="3" s="1"/>
  <c r="B52" i="3"/>
  <c r="C17" i="2"/>
  <c r="D17" i="2" s="1"/>
  <c r="C40" i="2"/>
  <c r="D40" i="2" s="1"/>
  <c r="D10" i="2"/>
  <c r="G27" i="2"/>
  <c r="C42" i="2"/>
  <c r="D42" i="2" s="1"/>
  <c r="G11" i="2"/>
  <c r="D19" i="2"/>
  <c r="G12" i="3"/>
  <c r="G30" i="3"/>
  <c r="G52" i="3" l="1"/>
  <c r="F52" i="3"/>
  <c r="D52" i="3"/>
  <c r="C5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6" authorId="0" shapeId="0" xr:uid="{00000000-0006-0000-0000-000001000000}">
      <text>
        <r>
          <rPr>
            <sz val="10"/>
            <color rgb="FF000000"/>
            <rFont val="Arial"/>
            <scheme val="minor"/>
          </rPr>
          <t>======
ID#AAAAuOClMOM
    (2023-05-02 16:55:36)
@chris@regrow.ag is the iFeeder TMR rations tab for both animal types?
	-Marie Bader
no beef TMR is in the by state breakdown beef, still needs to be translated some more though
	-Chris Dorich</t>
        </r>
      </text>
    </comment>
  </commentList>
  <extLst>
    <ext xmlns:r="http://schemas.openxmlformats.org/officeDocument/2006/relationships" uri="GoogleSheetsCustomDataVersion2">
      <go:sheetsCustomData xmlns:go="http://customooxmlschemas.google.com/" r:id="rId1" roundtripDataSignature="AMtx7mi+n51TV7JWGnV194JXTbNrtustcw=="/>
    </ext>
  </extLst>
</comments>
</file>

<file path=xl/sharedStrings.xml><?xml version="1.0" encoding="utf-8"?>
<sst xmlns="http://schemas.openxmlformats.org/spreadsheetml/2006/main" count="2197" uniqueCount="420">
  <si>
    <r>
      <rPr>
        <b/>
        <sz val="10"/>
        <color theme="1"/>
        <rFont val="DM Sans"/>
      </rPr>
      <t>Overview.</t>
    </r>
    <r>
      <rPr>
        <sz val="10"/>
        <color theme="1"/>
        <rFont val="DM Sans"/>
      </rPr>
      <t xml:space="preserve"> 
Contained within this inventory workbook is the primary output for two milestones within the 'Ag Practices OpTIS National Implementation' resesarch project
- Initial GHG inventory for CA, MN and NY livestock production. (</t>
    </r>
    <r>
      <rPr>
        <i/>
        <sz val="10"/>
        <color theme="1"/>
        <rFont val="DM Sans"/>
      </rPr>
      <t>1 October deliverable set</t>
    </r>
    <r>
      <rPr>
        <sz val="10"/>
        <color theme="1"/>
        <rFont val="DM Sans"/>
      </rPr>
      <t>)
- Preliminary estimates of state livestock GHG emissions for entire CONUS. (</t>
    </r>
    <r>
      <rPr>
        <i/>
        <sz val="10"/>
        <color theme="1"/>
        <rFont val="DM Sans"/>
      </rPr>
      <t>15 December deliverable set</t>
    </r>
    <r>
      <rPr>
        <sz val="10"/>
        <color theme="1"/>
        <rFont val="DM Sans"/>
      </rPr>
      <t xml:space="preserve">)
</t>
    </r>
    <r>
      <rPr>
        <b/>
        <sz val="10"/>
        <color theme="1"/>
        <rFont val="DM Sans"/>
      </rPr>
      <t xml:space="preserve">Objectives. </t>
    </r>
    <r>
      <rPr>
        <sz val="10"/>
        <color theme="1"/>
        <rFont val="DM Sans"/>
      </rPr>
      <t xml:space="preserve">
Using a bottom-up approach, estimate livestock emissions for dairy and beef cattle in CONUS.
Develop an interactive state-level inventory for enteric and manure emissions
</t>
    </r>
    <r>
      <rPr>
        <b/>
        <sz val="10"/>
        <color theme="1"/>
        <rFont val="DM Sans"/>
      </rPr>
      <t xml:space="preserve">Contents.
</t>
    </r>
    <r>
      <rPr>
        <sz val="10"/>
        <color theme="1"/>
        <rFont val="DM Sans"/>
      </rPr>
      <t xml:space="preserve">This document captures both inputs and emissions outputs for dairy and beef cattle across the US for both enteric and manure emissions. All tabs that are highlighted in a color (see tab guide below) contain emissions outputs; all others are input-only tabs. Although we do show emissions outputs in a variety of formats (e.g. 'kgCH4/animal-year', 'kg N2O/cow-year', etc.) to support multiple levels of analyses, throughout the inventory tabs, we convert all emissions into MMT CO2eq for final state-level totals so that emissions can be analyzed within a standard framework. Dairy enteric emissions are estimated using the California Dairy Emission Model (CADEM, a CA specific version of the manureDNDC model) equation. An updated CADEM enteric equation was not available for beef during the duration of this project, so the EPA livestock inventory approach was leveraged instead. Manure emissions for both animal types were calculating using EPA equations as well. 
While the inventory pages are protected sheets, the input-only tabs are editable. This provides enormous value, as it allows for data to be updated incrementally from the baseline values established using the EPA and IFEEDER data, which were the primary sources of truth for these inital deliverables. As we further streamline this workbook and remove redundancies within, updating input values will have the effect of dynamically updating the associated emissions as well. 
Additional information regarding data sources, calculations, considerations, and next steps can be found in the supplemental 'TNC Livestock Inventory: Preliminary CONUS | R&amp;D 2022' report. 
</t>
    </r>
  </si>
  <si>
    <t>Tab name</t>
  </si>
  <si>
    <t>Description</t>
  </si>
  <si>
    <t>Inventory</t>
  </si>
  <si>
    <t>Regrows state level inventory results. Broken out by animal type (beef and dairy) and emissions type (enteric and manure)</t>
  </si>
  <si>
    <t>Beef Enteric Inventory</t>
  </si>
  <si>
    <t>Beef enteric emissions, calculations sheet (includes key inputs and state-level emissions)</t>
  </si>
  <si>
    <t>Beef Manure Inventory</t>
  </si>
  <si>
    <t>Beef manure emissions, calculations sheet (includes key inputs and state-level emissions)</t>
  </si>
  <si>
    <t>Dairy Enteric Inventory</t>
  </si>
  <si>
    <t>Dairy enteric emissions, calculations sheet (includes key inputs and state-level emissions)</t>
  </si>
  <si>
    <t>Dairy Manure Inventory</t>
  </si>
  <si>
    <t>Dairy manure emissions, calculations sheet (includes key inputs and state-level emissions)</t>
  </si>
  <si>
    <t>Beef Animal numbers</t>
  </si>
  <si>
    <t>Beef animal numbers</t>
  </si>
  <si>
    <t>Dairy Animal Numbers, Mass, Milk Prod</t>
  </si>
  <si>
    <t xml:space="preserve">Dairy animal numbers, average masses, milk production, and replacement rates </t>
  </si>
  <si>
    <t>Beef diets</t>
  </si>
  <si>
    <t>Beef methane conversion factors and Gross energy intake for beef categories</t>
  </si>
  <si>
    <t>Dairy State Manure Mgmt</t>
  </si>
  <si>
    <t xml:space="preserve">Dairy state level manure management techniques and manure amounts, from EPA livestock inventory </t>
  </si>
  <si>
    <t>Beef State Manure Mgmt</t>
  </si>
  <si>
    <t xml:space="preserve">Beef state level manure management techniques and manure amounts, from EPA livestock inventory </t>
  </si>
  <si>
    <t>iFeeder TMR rations</t>
  </si>
  <si>
    <t xml:space="preserve">iFeeder TMR ration - percent of respective feeds used in dairy diets </t>
  </si>
  <si>
    <t>avg ann temp, manure EFs</t>
  </si>
  <si>
    <t>avg temperature by state, and the manure EF based on that for various manure mgmt types</t>
  </si>
  <si>
    <t>volatile solids and nex</t>
  </si>
  <si>
    <t xml:space="preserve">volatile solids and nitrogen excreation rates for livestock. We originally had ARB, but then switched to EPA to match with inventory better. ARB and EPA had different numbers for volatile solid creation from dairy cows. </t>
  </si>
  <si>
    <t>Beef Herd Emissions by State</t>
  </si>
  <si>
    <t>Dairy Herd Emissions by State</t>
  </si>
  <si>
    <t>State</t>
  </si>
  <si>
    <t>Enteric</t>
  </si>
  <si>
    <t>Manure</t>
  </si>
  <si>
    <t>Total Beef</t>
  </si>
  <si>
    <t>Total Dairy</t>
  </si>
  <si>
    <t>MMT CO2eq</t>
  </si>
  <si>
    <t>CA</t>
  </si>
  <si>
    <t>MN</t>
  </si>
  <si>
    <t>NY</t>
  </si>
  <si>
    <t>AL</t>
  </si>
  <si>
    <t>AR</t>
  </si>
  <si>
    <t>AZ</t>
  </si>
  <si>
    <t>CO</t>
  </si>
  <si>
    <t>CT</t>
  </si>
  <si>
    <t>DE</t>
  </si>
  <si>
    <t>FL</t>
  </si>
  <si>
    <t>GA</t>
  </si>
  <si>
    <t>IA</t>
  </si>
  <si>
    <t>ID</t>
  </si>
  <si>
    <t>IL</t>
  </si>
  <si>
    <t>IN</t>
  </si>
  <si>
    <t>KS</t>
  </si>
  <si>
    <t>KY</t>
  </si>
  <si>
    <t>LA</t>
  </si>
  <si>
    <t>MA</t>
  </si>
  <si>
    <t>MD</t>
  </si>
  <si>
    <t>ME</t>
  </si>
  <si>
    <t>MI</t>
  </si>
  <si>
    <t>MO</t>
  </si>
  <si>
    <t>MS</t>
  </si>
  <si>
    <t>MT</t>
  </si>
  <si>
    <t>NC</t>
  </si>
  <si>
    <t>ND</t>
  </si>
  <si>
    <t>NE</t>
  </si>
  <si>
    <t>NH</t>
  </si>
  <si>
    <t>NJ</t>
  </si>
  <si>
    <t>NM</t>
  </si>
  <si>
    <t>NV</t>
  </si>
  <si>
    <t>OH</t>
  </si>
  <si>
    <t>OK</t>
  </si>
  <si>
    <t>OR</t>
  </si>
  <si>
    <t>PA</t>
  </si>
  <si>
    <t>RI</t>
  </si>
  <si>
    <t>SC</t>
  </si>
  <si>
    <t>SD</t>
  </si>
  <si>
    <t>TN</t>
  </si>
  <si>
    <t>TX</t>
  </si>
  <si>
    <t>UT</t>
  </si>
  <si>
    <t>VA</t>
  </si>
  <si>
    <t>VT</t>
  </si>
  <si>
    <t>WA</t>
  </si>
  <si>
    <t>WI</t>
  </si>
  <si>
    <t>WV</t>
  </si>
  <si>
    <t>WY</t>
  </si>
  <si>
    <t>metric ton CO2eq/animal-year</t>
  </si>
  <si>
    <t>AVG</t>
  </si>
  <si>
    <t>animal numbers</t>
  </si>
  <si>
    <t>Gross Energy (annual, MJ/head-year)</t>
  </si>
  <si>
    <t>CH4 Emissions per cow-year</t>
  </si>
  <si>
    <t>CO2eq Emissions</t>
  </si>
  <si>
    <t>animal type</t>
  </si>
  <si>
    <t>Beef Calves</t>
  </si>
  <si>
    <t>Beef Cows</t>
  </si>
  <si>
    <t>Beef Replacement Heifers (7-11 mos)</t>
  </si>
  <si>
    <t>Beef Replacement Heifers (12-23 mos)</t>
  </si>
  <si>
    <t>Steer Stockers</t>
  </si>
  <si>
    <t>Heifer Stockers</t>
  </si>
  <si>
    <t>Feedlot</t>
  </si>
  <si>
    <t>abbreviation</t>
  </si>
  <si>
    <t>total</t>
  </si>
  <si>
    <t>unit (if applicable)</t>
  </si>
  <si>
    <t>1000 head</t>
  </si>
  <si>
    <t>kgCH4/animal-year</t>
  </si>
  <si>
    <t>beef cattle</t>
  </si>
  <si>
    <t>NA</t>
  </si>
  <si>
    <t>volatile solids</t>
  </si>
  <si>
    <t>Nex</t>
  </si>
  <si>
    <t>CH4 mgmt values</t>
  </si>
  <si>
    <t>CH4 emissions by state-group</t>
  </si>
  <si>
    <t>Beef Replacement Heifers</t>
  </si>
  <si>
    <t xml:space="preserve">Beef Replacement Heifers </t>
  </si>
  <si>
    <r>
      <rPr>
        <sz val="10"/>
        <color theme="1"/>
        <rFont val="DM Sans"/>
      </rPr>
      <t>B</t>
    </r>
    <r>
      <rPr>
        <sz val="6"/>
        <color theme="1"/>
        <rFont val="DM Sans"/>
      </rPr>
      <t>o Feedlot</t>
    </r>
  </si>
  <si>
    <r>
      <rPr>
        <sz val="10"/>
        <color theme="1"/>
        <rFont val="DM Sans"/>
      </rPr>
      <t>B</t>
    </r>
    <r>
      <rPr>
        <sz val="6"/>
        <color theme="1"/>
        <rFont val="DM Sans"/>
      </rPr>
      <t>o NOF</t>
    </r>
  </si>
  <si>
    <t>MCF pasture</t>
  </si>
  <si>
    <t>MCF dry</t>
  </si>
  <si>
    <t>% dry</t>
  </si>
  <si>
    <t>% pasture/daily spread</t>
  </si>
  <si>
    <t>Feedlot OF</t>
  </si>
  <si>
    <t>Beef OF 
(CH4)</t>
  </si>
  <si>
    <t>Beef NOF (CH4)</t>
  </si>
  <si>
    <t>Beef NOF (direct N20)</t>
  </si>
  <si>
    <t>Beef OF (direct N2O)</t>
  </si>
  <si>
    <t>Beef NOF (indirect N20)</t>
  </si>
  <si>
    <t>Beef OF (indirect N2O)</t>
  </si>
  <si>
    <t>Beef OF (Direct + Indirect N20)</t>
  </si>
  <si>
    <t>Beef NOF (Direct + Indirect N20)</t>
  </si>
  <si>
    <t>kgVS/state-year</t>
  </si>
  <si>
    <t>kgN/state-year</t>
  </si>
  <si>
    <t>m3 CH4/kg VS</t>
  </si>
  <si>
    <t>Table A-168</t>
  </si>
  <si>
    <t>%</t>
  </si>
  <si>
    <t>kg CH4/state</t>
  </si>
  <si>
    <t>Animal Numbers</t>
  </si>
  <si>
    <t>Enteric Inputs</t>
  </si>
  <si>
    <t>milking cows</t>
  </si>
  <si>
    <t xml:space="preserve"># dairy calves </t>
  </si>
  <si>
    <t># dairy heifers 7-11mo</t>
  </si>
  <si>
    <t># heifers 12-23mo</t>
  </si>
  <si>
    <t>NDF</t>
  </si>
  <si>
    <t>average daily feed intake (DMI)</t>
  </si>
  <si>
    <t xml:space="preserve">dairy calves </t>
  </si>
  <si>
    <t>dairy heifers 7-11mo</t>
  </si>
  <si>
    <t>heifers 12-23mo</t>
  </si>
  <si>
    <t>(kg/day dry matter)</t>
  </si>
  <si>
    <t>(kg CH4/cow-year)</t>
  </si>
  <si>
    <t>lactating TMR (kg DM/head-day)</t>
  </si>
  <si>
    <t>dairy cows</t>
  </si>
  <si>
    <t>lactating cows manure inputs 
(Vs, N, Bo, and MCF, % management)</t>
  </si>
  <si>
    <t>CH4 Emissions per cow-year (milking cows)</t>
  </si>
  <si>
    <t>heifers/replacements &amp; calves inputs 
(Vs, N, Bo, and MCF, and % management)</t>
  </si>
  <si>
    <t>CH4 Emissions per cow-year (Heifers and Calves)</t>
  </si>
  <si>
    <t>N20 Emissions per cow-year</t>
  </si>
  <si>
    <t>Volatile solids</t>
  </si>
  <si>
    <t>N excreted</t>
  </si>
  <si>
    <r>
      <rPr>
        <sz val="10"/>
        <color theme="1"/>
        <rFont val="DM Sans"/>
      </rPr>
      <t>B</t>
    </r>
    <r>
      <rPr>
        <sz val="6"/>
        <color theme="1"/>
        <rFont val="DM Sans"/>
      </rPr>
      <t>o</t>
    </r>
  </si>
  <si>
    <t>MCF liquid slurry/deep pit</t>
  </si>
  <si>
    <t>MCF lagoon</t>
  </si>
  <si>
    <t>MCF digester</t>
  </si>
  <si>
    <t>% liquid</t>
  </si>
  <si>
    <t>% lagoon</t>
  </si>
  <si>
    <t>% digester</t>
  </si>
  <si>
    <t>unaccounted for (treated as lagoon)</t>
  </si>
  <si>
    <t>% manure storage</t>
  </si>
  <si>
    <t>lactating cow manure mgmt CH4</t>
  </si>
  <si>
    <t>volatile solids heifers</t>
  </si>
  <si>
    <t>volatile solids calves</t>
  </si>
  <si>
    <t>Bo heifers</t>
  </si>
  <si>
    <t>unaccounted for (treated as PRP)</t>
  </si>
  <si>
    <t>heifer manure mgmt CH4</t>
  </si>
  <si>
    <t>calf manure mgmt CH4</t>
  </si>
  <si>
    <t>dairy manure (direct N20)</t>
  </si>
  <si>
    <t>heifer manure (direct N2O)</t>
  </si>
  <si>
    <t>dairy manure (indirect N20)</t>
  </si>
  <si>
    <t>heifer manure (indirect N2O)</t>
  </si>
  <si>
    <t>Dairy cow</t>
  </si>
  <si>
    <t>Dairy Heifer</t>
  </si>
  <si>
    <t>kg/cow-year</t>
  </si>
  <si>
    <t>Table A-169</t>
  </si>
  <si>
    <t>kg/heifer-year</t>
  </si>
  <si>
    <t>kg/calf-year</t>
  </si>
  <si>
    <t>kg N2O/cow-year</t>
  </si>
  <si>
    <t xml:space="preserve">MMT CO2eq
[CH4] </t>
  </si>
  <si>
    <t xml:space="preserve">MMT CO2eq
[N2O D+] </t>
  </si>
  <si>
    <t># Beef Calves (1000 head)</t>
  </si>
  <si>
    <t># Beef Cows (1000 head)</t>
  </si>
  <si>
    <t>Feedlot (1000 head)</t>
  </si>
  <si>
    <t>Beef Replacement Heifers (7-11 mos, 1000 head)</t>
  </si>
  <si>
    <t>Beef Replacement Heifers (12-23 mos, 1000 head)</t>
  </si>
  <si>
    <t>Steer Stockers (1000 head)</t>
  </si>
  <si>
    <t>Heifer Stockers (1000 head)</t>
  </si>
  <si>
    <t>replacement</t>
  </si>
  <si>
    <t>Alabama</t>
  </si>
  <si>
    <t>Alaska</t>
  </si>
  <si>
    <t>AK</t>
  </si>
  <si>
    <t>Arizona</t>
  </si>
  <si>
    <t>Arkansas</t>
  </si>
  <si>
    <t>California</t>
  </si>
  <si>
    <t>Colorado</t>
  </si>
  <si>
    <t>Connecticut</t>
  </si>
  <si>
    <t>Delaware</t>
  </si>
  <si>
    <t>Florida</t>
  </si>
  <si>
    <t>Georgia</t>
  </si>
  <si>
    <t>Hawaii</t>
  </si>
  <si>
    <t>HI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</si>
  <si>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</si>
  <si>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</si>
  <si>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</si>
  <si>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</si>
  <si>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</si>
  <si>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</si>
  <si>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</si>
  <si>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</si>
  <si>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</si>
  <si>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</si>
  <si>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</si>
  <si>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</si>
  <si>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</si>
  <si>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</si>
  <si>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</si>
  <si>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</si>
  <si>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</si>
  <si>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</si>
  <si>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</si>
  <si>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</si>
  <si>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</si>
  <si>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</si>
  <si>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</si>
  <si>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</si>
  <si>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</si>
  <si>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</si>
  <si>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</si>
  <si>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</si>
  <si>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</si>
  <si>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</si>
  <si>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</si>
  <si>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</si>
  <si>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</si>
  <si>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</si>
  <si>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</si>
  <si>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</si>
  <si>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</si>
  <si>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</si>
  <si>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</si>
  <si>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Dairy Cow Breakdown By State (EPA Inventory, 2020 value...)</t>
  </si>
  <si>
    <t>abbreviations</t>
  </si>
  <si>
    <t># Milk Cows</t>
  </si>
  <si>
    <t># dairy calves</t>
  </si>
  <si>
    <t># heifers 7-11mo</t>
  </si>
  <si>
    <t>replacement rate (dairy/replacements)</t>
  </si>
  <si>
    <t>Milk Production (lbs/head)</t>
  </si>
  <si>
    <t>milk production (lbs/day, 305day/avg)</t>
  </si>
  <si>
    <t>dairy average animal body mass</t>
  </si>
  <si>
    <t>calves animal body mass</t>
  </si>
  <si>
    <t>heifer 7-11mo body mass</t>
  </si>
  <si>
    <t>heifer 12-23 body mass</t>
  </si>
  <si>
    <t>source</t>
  </si>
  <si>
    <t>Table A-130, EPA inventory</t>
  </si>
  <si>
    <t>Table A-130, EPA Inventory</t>
  </si>
  <si>
    <t>Table A-140, EPA inventory</t>
  </si>
  <si>
    <t>kg</t>
  </si>
  <si>
    <t>New Mexico</t>
  </si>
  <si>
    <t>Animal Type</t>
  </si>
  <si>
    <t>Data</t>
  </si>
  <si>
    <t>West</t>
  </si>
  <si>
    <t>Central</t>
  </si>
  <si>
    <t>Northeast</t>
  </si>
  <si>
    <t>Southeast</t>
  </si>
  <si>
    <t>Dairy replacement heifers</t>
  </si>
  <si>
    <t>Table A-147, feedlot</t>
  </si>
  <si>
    <t>Ym</t>
  </si>
  <si>
    <t>Dairy calves (4-6 m0)</t>
  </si>
  <si>
    <t>Dairy cows</t>
  </si>
  <si>
    <t>steer feedlot</t>
  </si>
  <si>
    <t>heifer feedlot</t>
  </si>
  <si>
    <t>Beef replacement heifers</t>
  </si>
  <si>
    <t>Table A-146, foraging</t>
  </si>
  <si>
    <t>beef calves</t>
  </si>
  <si>
    <t>steer stockers</t>
  </si>
  <si>
    <t>heifer stockrs</t>
  </si>
  <si>
    <t>beef cows</t>
  </si>
  <si>
    <t>bulls</t>
  </si>
  <si>
    <t>Gross energy intake table (A-148), GJ/state</t>
  </si>
  <si>
    <t>Beef calves</t>
  </si>
  <si>
    <t>Beef cows</t>
  </si>
  <si>
    <t>Bulls</t>
  </si>
  <si>
    <t>2020 Manure Distribution Among Waste Management Systems for Dairy Cow Farms (%) by State</t>
  </si>
  <si>
    <t>Manure Distribution Among Waste Management Systems for Beef</t>
  </si>
  <si>
    <t>Pasture, Range, Paddock</t>
  </si>
  <si>
    <t>Daily Spread</t>
  </si>
  <si>
    <t>Dry Lot</t>
  </si>
  <si>
    <t>Solid Storage</t>
  </si>
  <si>
    <t>Liquid/Slurry</t>
  </si>
  <si>
    <t>Anerobic Lagoon</t>
  </si>
  <si>
    <t>Deep Pit</t>
  </si>
  <si>
    <t>2020 Manure Distribution Among Waste Management Systems for Dairy Cow Farms (%) by State, Table A-165</t>
  </si>
  <si>
    <t>Manure Distribution Among Waste Management Systems for Dairy Heifers</t>
  </si>
  <si>
    <t>Estimated Volatile Solids and Total Nitrogen Excreted by State for Dairy Cows + Dairy Heifers (Kg/Animal/Year)</t>
  </si>
  <si>
    <t>Total</t>
  </si>
  <si>
    <t>Volatile Solids (Dairy Cows)</t>
  </si>
  <si>
    <t>Nitrogen Excreted (Dairy Cows)</t>
  </si>
  <si>
    <t>* #s for dairy heifers are constant, VS = 1255, NEX = 69</t>
  </si>
  <si>
    <t>feed breakdown (percents)</t>
  </si>
  <si>
    <t>Nutrient Analysis</t>
  </si>
  <si>
    <t>sum</t>
  </si>
  <si>
    <t>Alfalfa Hay</t>
  </si>
  <si>
    <t>Almond Hulls</t>
  </si>
  <si>
    <t>Canola Meal</t>
  </si>
  <si>
    <t>Corn</t>
  </si>
  <si>
    <t>cornsilage</t>
  </si>
  <si>
    <t>Corn DDGs</t>
  </si>
  <si>
    <t>Inedible Tallow</t>
  </si>
  <si>
    <t>Meat &amp; Bone Meal</t>
  </si>
  <si>
    <t>Other Hay</t>
  </si>
  <si>
    <t>Soybean Meal</t>
  </si>
  <si>
    <t>Soybean Seeds</t>
  </si>
  <si>
    <t>Soy Hulls</t>
  </si>
  <si>
    <t>Soybean Oil</t>
  </si>
  <si>
    <t>Corn Gluten Feed/Meal</t>
  </si>
  <si>
    <t>percent accounted</t>
  </si>
  <si>
    <t>DM</t>
  </si>
  <si>
    <t>DMI</t>
  </si>
  <si>
    <t>CP</t>
  </si>
  <si>
    <t>Avg °F</t>
  </si>
  <si>
    <t>Avg °C</t>
  </si>
  <si>
    <t>MCF Dairy anaerobic lagoon</t>
  </si>
  <si>
    <t>MCF Dairy liquid/slurry and deep pit</t>
  </si>
  <si>
    <t>MCF liquid</t>
  </si>
  <si>
    <t>heifer manure mgmt daily spread</t>
  </si>
  <si>
    <t>heifer manure mgmt dry lot</t>
  </si>
  <si>
    <t>heifer manure mgmt liquid/slurry</t>
  </si>
  <si>
    <t>heifer manure mgmt PRP</t>
  </si>
  <si>
    <t>Direct N2O liquid/slurry</t>
  </si>
  <si>
    <t>Direct N2O pit/storage</t>
  </si>
  <si>
    <t>Direct N2O composting</t>
  </si>
  <si>
    <t>Direct N2O cattle deep bed</t>
  </si>
  <si>
    <t>Direct N2O dry lot</t>
  </si>
  <si>
    <t>Indirect n2o dairy volatilization anaerobic lagoon</t>
  </si>
  <si>
    <t>Indirect n2o dairy volatilization daily spread</t>
  </si>
  <si>
    <t>Indirect n2o dairy volatilization deep pit</t>
  </si>
  <si>
    <t>Indirect n2o dairy volatilization dry lot</t>
  </si>
  <si>
    <t>Indirect n2o dairy volatilization liquid/slurry</t>
  </si>
  <si>
    <t>Indirect n2o dairy volatilization pasture</t>
  </si>
  <si>
    <t>Indirect n2o dairy volatilization solid storage</t>
  </si>
  <si>
    <t>Indirect n2o dairy leaching nitrogen loss</t>
  </si>
  <si>
    <t>Region Foraging cattle</t>
  </si>
  <si>
    <t>Rank</t>
  </si>
  <si>
    <t>https://www.currentresults.com/Weather/US/average-annual-state-temperatures.php</t>
  </si>
  <si>
    <t>MCF tables</t>
  </si>
  <si>
    <t>cool</t>
  </si>
  <si>
    <t>Temperate</t>
  </si>
  <si>
    <t>warm</t>
  </si>
  <si>
    <t>Table A-169, EPA inventory</t>
  </si>
  <si>
    <t xml:space="preserve">?? Table A-169...? </t>
  </si>
  <si>
    <t>TableA-165</t>
  </si>
  <si>
    <t>TableA-170</t>
  </si>
  <si>
    <t>TableA-171</t>
  </si>
  <si>
    <t>TableA-142</t>
  </si>
  <si>
    <t>^ temperature values taken from here</t>
  </si>
  <si>
    <t>system</t>
  </si>
  <si>
    <t>&lt;10</t>
  </si>
  <si>
    <t>solid storage</t>
  </si>
  <si>
    <t>dry lot</t>
  </si>
  <si>
    <t>liquid/slurry w natural crust</t>
  </si>
  <si>
    <t>liquid/slurry w/out natural crust</t>
  </si>
  <si>
    <t>uncovered anaerobic lagoon</t>
  </si>
  <si>
    <t xml:space="preserve">these two mcf tables from ARB...? </t>
  </si>
  <si>
    <t>liquid average</t>
  </si>
  <si>
    <t>digester</t>
  </si>
  <si>
    <t>^0-100% noted for all of the temperatures....</t>
  </si>
  <si>
    <t>VS Dairy Cow</t>
  </si>
  <si>
    <t>VS Heifer</t>
  </si>
  <si>
    <t>VS Heifer - grazing</t>
  </si>
  <si>
    <t>VS Cows-grazing</t>
  </si>
  <si>
    <t>dairy cow</t>
  </si>
  <si>
    <t>dairy heifer</t>
  </si>
  <si>
    <t>beef NOF cow</t>
  </si>
  <si>
    <t>beef NOF heifer</t>
  </si>
  <si>
    <t>beef NOF steer</t>
  </si>
  <si>
    <t>beef OF heifers</t>
  </si>
  <si>
    <t xml:space="preserve">beef OF steer </t>
  </si>
  <si>
    <t>NOF cattle calves</t>
  </si>
  <si>
    <t>Dairy cow N excreted</t>
  </si>
  <si>
    <t>Diary heifer N excreted</t>
  </si>
  <si>
    <t>Beef N NOF cow</t>
  </si>
  <si>
    <t>Beef N NOF heifers</t>
  </si>
  <si>
    <t xml:space="preserve">Beef N NOF steer </t>
  </si>
  <si>
    <t>Beef N OF heifers</t>
  </si>
  <si>
    <t xml:space="preserve">Beef N OF steer </t>
  </si>
  <si>
    <t>Beef N NOF Bull</t>
  </si>
  <si>
    <t>NOF N cattle calves</t>
  </si>
  <si>
    <t>Table A-164, EPA inventory</t>
  </si>
  <si>
    <t>kg/day/1000kgmass</t>
  </si>
  <si>
    <t>kg/animal-year</t>
  </si>
  <si>
    <t>http://www.aqmd.gov/docs/default-source/planning/Climate-Change/manure-management-project-protocol.pdf Table A.5</t>
  </si>
  <si>
    <t xml:space="preserve">vlookup # </t>
  </si>
  <si>
    <t>https://cbmjournal.biomedcentral.com/articles/10.1186/s13021-017-0084-y</t>
  </si>
  <si>
    <t>Revised methane emissions factors
and spatially distributed annual carbon fluxes for global livestock</t>
  </si>
  <si>
    <t>Source of many values within the inventory</t>
  </si>
  <si>
    <t>https://www.ipcc-nggip.iges.or.jp/public/2006gl/pdf/4_Volume4/V4_10_Ch10_Livestock.pdf</t>
  </si>
  <si>
    <t>IPCC EMISSIONS FROM LIVESTOCK AND MANURE MANAGEMENT</t>
  </si>
  <si>
    <t>Includes equations</t>
  </si>
  <si>
    <t>https://www.fao.org/3/ca7510en/ca7510en.pdf</t>
  </si>
  <si>
    <t>Livestock Activity Data Guidance</t>
  </si>
  <si>
    <t>https://www3.epa.gov/ttnchie1/conference/ei12/green/mangino.pdf</t>
  </si>
  <si>
    <t>Development of an Emissions Model to Estimate Methane from Enteric Fermentation in Cattle</t>
  </si>
  <si>
    <t>https://www.ncbi.nlm.nih.gov/pmc/articles/PMC7096121/</t>
  </si>
  <si>
    <t xml:space="preserve"> An estimation of greenhouse gas emission from livestock in Bangladesh</t>
  </si>
  <si>
    <t>Includes equations; unsure if applicable outside of Bangladesh</t>
  </si>
  <si>
    <t>https://ww2.arb.ca.gov/sites/default/files/classic/research/apr/past/16rd001.pdf</t>
  </si>
  <si>
    <t>CHARACTERIZING CALIFORNIA-SPECIFIC CATTLE FEED RATIONS AND IMPROVE MODELING OF ENTERIC FERMENTATION FOR CALIFORNIA’S GREENHOUSE GAS INVENTORY</t>
  </si>
  <si>
    <t>https://daac.ornl.gov/cgi-bin/dsviewer.pl?ds_id=1902</t>
  </si>
  <si>
    <t>enteric and manure management dataset for CA</t>
  </si>
  <si>
    <t>https://essd.copernicus.org/articles/13/1151/2021/essd-13-1151-2021.pdf</t>
  </si>
  <si>
    <t>Facility-scale inventory of dairy methane emissions in California: implications for mitigation</t>
  </si>
  <si>
    <t>http://www.aqmd.gov/docs/default-source/planning/Climate-Change/manure-management-project-protocol.pdf</t>
  </si>
  <si>
    <t>contains detailed MCF values, state level VS data, B0. Appendix A</t>
  </si>
  <si>
    <t>https://pubs.acs.org/doi/10.1021/acs.est.7b03332</t>
  </si>
  <si>
    <t>Discrepancies and Uncertainties in Bottom-up Gridded Inventories of Livestock Methane Emissions for the Contiguous United States</t>
  </si>
  <si>
    <t>good framework for us to conduct our 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</si>
</sst>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33">
    <font>
      <sz val="10"/>
      <color rgb="FF000000"/>
      <name val="Arial"/>
      <scheme val="minor"/>
    </font>
    <font>
      <sz val="10"/>
      <color theme="1"/>
      <name val="Arial"/>
    </font>
    <font>
      <b/>
      <sz val="10"/>
      <color theme="1"/>
      <name val="DM Sans"/>
    </font>
    <font>
      <sz val="10"/>
      <color theme="1"/>
      <name val="DM Sans"/>
    </font>
    <font>
      <sz val="10"/>
      <color theme="1"/>
      <name val="DM Sans"/>
    </font>
    <font>
      <sz val="10"/>
      <color rgb="FF222222"/>
      <name val="DM Sans"/>
    </font>
    <font>
      <b/>
      <sz val="10"/>
      <color theme="1"/>
      <name val="DM Sans"/>
    </font>
    <font>
      <sz val="10"/>
      <name val="Arial"/>
    </font>
    <font>
      <b/>
      <sz val="10"/>
      <color rgb="FF000000"/>
      <name val="DM Sans"/>
    </font>
    <font>
      <sz val="7"/>
      <color theme="1"/>
      <name val="DM Sans"/>
    </font>
    <font>
      <sz val="10"/>
      <color rgb="FF000000"/>
      <name val="DM Sans"/>
    </font>
    <font>
      <sz val="10"/>
      <color theme="1"/>
      <name val="Arial"/>
      <scheme val="minor"/>
    </font>
    <font>
      <sz val="8"/>
      <color theme="1"/>
      <name val="DM Sans"/>
    </font>
    <font>
      <u/>
      <sz val="10"/>
      <color rgb="FF0000FF"/>
      <name val="DM Sans"/>
    </font>
    <font>
      <u/>
      <sz val="10"/>
      <color rgb="FF0000FF"/>
      <name val="DM Sans"/>
    </font>
    <font>
      <sz val="10"/>
      <color rgb="FF000000"/>
      <name val="DM Sans"/>
    </font>
    <font>
      <sz val="10"/>
      <color rgb="FF403F41"/>
      <name val="DM Sans"/>
    </font>
    <font>
      <u/>
      <sz val="10"/>
      <color rgb="FF0000FF"/>
      <name val="DM Sans"/>
    </font>
    <font>
      <u/>
      <sz val="10"/>
      <color rgb="FF000000"/>
      <name val="DM Sans"/>
    </font>
    <font>
      <sz val="11"/>
      <color rgb="FF000000"/>
      <name val="DM Sans"/>
    </font>
    <font>
      <b/>
      <sz val="10"/>
      <color theme="1"/>
      <name val="Arial"/>
    </font>
    <font>
      <u/>
      <sz val="10"/>
      <color rgb="FF0000FF"/>
      <name val="DM Sans"/>
    </font>
    <font>
      <sz val="10"/>
      <color rgb="FFFF0000"/>
      <name val="DM Sans"/>
    </font>
    <font>
      <b/>
      <sz val="10"/>
      <color rgb="FF0A8BDF"/>
      <name val="DM Sans"/>
    </font>
    <font>
      <u/>
      <sz val="10"/>
      <color rgb="FF0000FF"/>
      <name val="DM Sans"/>
    </font>
    <font>
      <sz val="10"/>
      <color rgb="FF1432D5"/>
      <name val="DM Sans"/>
    </font>
    <font>
      <sz val="10"/>
      <color rgb="FF333333"/>
      <name val="DM Sans"/>
    </font>
    <font>
      <u/>
      <sz val="10"/>
      <color rgb="FF1432D5"/>
      <name val="DM Sans"/>
    </font>
    <font>
      <u/>
      <sz val="10"/>
      <color rgb="FF1432D5"/>
      <name val="DM Sans"/>
    </font>
    <font>
      <u/>
      <sz val="11"/>
      <color rgb="FF000000"/>
      <name val="DM Sans"/>
    </font>
    <font>
      <u/>
      <sz val="10"/>
      <color rgb="FF0000FF"/>
      <name val="DM Sans"/>
    </font>
    <font>
      <i/>
      <sz val="10"/>
      <color theme="1"/>
      <name val="DM Sans"/>
    </font>
    <font>
      <sz val="6"/>
      <color theme="1"/>
      <name val="DM Sans"/>
    </font>
  </fonts>
  <fills count="25">
    <fill>
      <patternFill patternType="none"/>
    </fill>
    <fill>
      <patternFill patternType="gray125"/>
    </fill>
    <fill>
      <patternFill patternType="solid">
        <fgColor rgb="FFEFEFEF"/>
        <bgColor rgb="FFEFEFEF"/>
      </patternFill>
    </fill>
    <fill>
      <patternFill patternType="solid">
        <fgColor rgb="FFF6B26B"/>
        <bgColor rgb="FFF6B26B"/>
      </patternFill>
    </fill>
    <fill>
      <patternFill patternType="solid">
        <fgColor rgb="FFB6D7A8"/>
        <bgColor rgb="FFB6D7A8"/>
      </patternFill>
    </fill>
    <fill>
      <patternFill patternType="solid">
        <fgColor rgb="FFA2C4C9"/>
        <bgColor rgb="FFA2C4C9"/>
      </patternFill>
    </fill>
    <fill>
      <patternFill patternType="solid">
        <fgColor rgb="FFFFFFFF"/>
        <bgColor rgb="FFFFFFFF"/>
      </patternFill>
    </fill>
    <fill>
      <patternFill patternType="solid">
        <fgColor rgb="FFFFF2CC"/>
        <bgColor rgb="FFFFF2CC"/>
      </patternFill>
    </fill>
    <fill>
      <patternFill patternType="solid">
        <fgColor rgb="FFD9EAD3"/>
        <bgColor rgb="FFD9EAD3"/>
      </patternFill>
    </fill>
    <fill>
      <patternFill patternType="solid">
        <fgColor rgb="FFD0E0E3"/>
        <bgColor rgb="FFD0E0E3"/>
      </patternFill>
    </fill>
    <fill>
      <patternFill patternType="solid">
        <fgColor rgb="FFFCE5CD"/>
        <bgColor rgb="FFFCE5CD"/>
      </patternFill>
    </fill>
    <fill>
      <patternFill patternType="solid">
        <fgColor rgb="FFEA9999"/>
        <bgColor rgb="FFEA9999"/>
      </patternFill>
    </fill>
    <fill>
      <patternFill patternType="solid">
        <fgColor rgb="FFCFE2F3"/>
        <bgColor rgb="FFCFE2F3"/>
      </patternFill>
    </fill>
    <fill>
      <patternFill patternType="solid">
        <fgColor rgb="FFF4CCCC"/>
        <bgColor rgb="FFF4CCCC"/>
      </patternFill>
    </fill>
    <fill>
      <patternFill patternType="solid">
        <fgColor rgb="FFF9CB9C"/>
        <bgColor rgb="FFF9CB9C"/>
      </patternFill>
    </fill>
    <fill>
      <patternFill patternType="solid">
        <fgColor rgb="FFD9D2E9"/>
        <bgColor rgb="FFD9D2E9"/>
      </patternFill>
    </fill>
    <fill>
      <patternFill patternType="solid">
        <fgColor rgb="FFEAD1DC"/>
        <bgColor rgb="FFEAD1DC"/>
      </patternFill>
    </fill>
    <fill>
      <patternFill patternType="solid">
        <fgColor rgb="FFB7E1CD"/>
        <bgColor rgb="FFB7E1CD"/>
      </patternFill>
    </fill>
    <fill>
      <patternFill patternType="solid">
        <fgColor rgb="FFCCCCCC"/>
        <bgColor rgb="FFCCCCCC"/>
      </patternFill>
    </fill>
    <fill>
      <patternFill patternType="solid">
        <fgColor rgb="FFB4A7D6"/>
        <bgColor rgb="FFB4A7D6"/>
      </patternFill>
    </fill>
    <fill>
      <patternFill patternType="solid">
        <fgColor rgb="FF93C47D"/>
        <bgColor rgb="FF93C47D"/>
      </patternFill>
    </fill>
    <fill>
      <patternFill patternType="solid">
        <fgColor rgb="FFFFE599"/>
        <bgColor rgb="FFFFE599"/>
      </patternFill>
    </fill>
    <fill>
      <patternFill patternType="solid">
        <fgColor rgb="FF9FC5E8"/>
        <bgColor rgb="FF9FC5E8"/>
      </patternFill>
    </fill>
    <fill>
      <patternFill patternType="solid">
        <fgColor rgb="FFF7F7F7"/>
        <bgColor rgb="FFF7F7F7"/>
      </patternFill>
    </fill>
    <fill>
      <patternFill patternType="solid">
        <fgColor rgb="FFF1F3F4"/>
        <bgColor rgb="FFF1F3F4"/>
      </patternFill>
    </fill>
  </fills>
  <borders count="11">
    <border>
      <left/>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DCDCDC"/>
      </bottom>
      <diagonal/>
    </border>
  </borders>
  <cellStyleXfs count="1">
    <xf numFmtId="0" fontId="0" fillId="0" borderId="0"/>
  </cellStyleXfs>
  <cellXfs count="244">
    <xf numFmtId="0" fontId="0" fillId="0" borderId="0" xfId="0" applyFont="1" applyAlignment="1"/>
    <xf numFmtId="0" fontId="1" fillId="0" borderId="0" xfId="0" applyFont="1" applyAlignment="1">
      <alignment wrapText="1"/>
    </xf>
    <xf numFmtId="0" fontId="1" fillId="2" borderId="0" xfId="0" applyFont="1" applyFill="1" applyAlignment="1">
      <alignment wrapText="1"/>
    </xf>
    <xf numFmtId="0" fontId="1" fillId="2" borderId="0" xfId="0" applyFont="1" applyFill="1"/>
    <xf numFmtId="0" fontId="2" fillId="0" borderId="0" xfId="0" applyFont="1" applyAlignment="1">
      <alignment horizontal="center" vertical="top" wrapText="1"/>
    </xf>
    <xf numFmtId="0" fontId="2" fillId="0" borderId="0" xfId="0" applyFont="1" applyAlignment="1">
      <alignment horizontal="center" vertical="top"/>
    </xf>
    <xf numFmtId="0" fontId="3" fillId="0" borderId="0" xfId="0" applyFont="1" applyAlignment="1">
      <alignment horizontal="left" vertical="top"/>
    </xf>
    <xf numFmtId="0" fontId="3" fillId="0" borderId="0" xfId="0" applyFont="1"/>
    <xf numFmtId="0" fontId="4" fillId="3" borderId="0" xfId="0" applyFont="1" applyFill="1" applyAlignment="1">
      <alignment horizontal="left" vertical="top" wrapText="1"/>
    </xf>
    <xf numFmtId="0" fontId="4" fillId="0" borderId="0" xfId="0" applyFont="1" applyAlignment="1">
      <alignment horizontal="left" vertical="top"/>
    </xf>
    <xf numFmtId="0" fontId="4" fillId="4" borderId="0" xfId="0" applyFont="1" applyFill="1" applyAlignment="1">
      <alignment horizontal="left" vertical="top" wrapText="1"/>
    </xf>
    <xf numFmtId="0" fontId="4" fillId="5" borderId="0" xfId="0" applyFont="1" applyFill="1" applyAlignment="1">
      <alignment horizontal="left" vertical="top" wrapText="1"/>
    </xf>
    <xf numFmtId="0" fontId="4" fillId="0" borderId="0" xfId="0" applyFont="1" applyAlignment="1">
      <alignment horizontal="left" vertical="top" wrapText="1"/>
    </xf>
    <xf numFmtId="0" fontId="5" fillId="6" borderId="0" xfId="0" applyFont="1" applyFill="1" applyAlignment="1">
      <alignment wrapText="1"/>
    </xf>
    <xf numFmtId="0" fontId="3" fillId="0" borderId="0" xfId="0" applyFont="1" applyAlignment="1">
      <alignment horizontal="center" vertical="center" wrapText="1"/>
    </xf>
    <xf numFmtId="0" fontId="6" fillId="0" borderId="2" xfId="0" applyFont="1" applyBorder="1" applyAlignment="1">
      <alignment horizontal="center" vertical="center" wrapText="1"/>
    </xf>
    <xf numFmtId="0" fontId="3" fillId="4" borderId="0" xfId="0" applyFont="1" applyFill="1" applyAlignment="1">
      <alignment horizontal="center" vertical="center" wrapText="1"/>
    </xf>
    <xf numFmtId="2" fontId="3" fillId="5" borderId="0" xfId="0" applyNumberFormat="1" applyFont="1" applyFill="1" applyAlignment="1">
      <alignment horizontal="center" vertical="center" wrapText="1"/>
    </xf>
    <xf numFmtId="0" fontId="6" fillId="7" borderId="0" xfId="0" applyFont="1" applyFill="1" applyAlignment="1">
      <alignment horizontal="center" vertical="center" wrapText="1"/>
    </xf>
    <xf numFmtId="0" fontId="3" fillId="5" borderId="0" xfId="0" applyFont="1" applyFill="1" applyAlignment="1">
      <alignment horizontal="center" vertical="center" wrapText="1"/>
    </xf>
    <xf numFmtId="0" fontId="8" fillId="7" borderId="0" xfId="0" applyFont="1" applyFill="1" applyAlignment="1">
      <alignment horizontal="center"/>
    </xf>
    <xf numFmtId="0" fontId="3" fillId="0" borderId="3" xfId="0" applyFont="1" applyBorder="1" applyAlignment="1">
      <alignment horizontal="center" vertical="center" wrapText="1"/>
    </xf>
    <xf numFmtId="0" fontId="9" fillId="0" borderId="3" xfId="0" applyFont="1" applyBorder="1" applyAlignment="1">
      <alignment horizontal="center" vertical="center" wrapText="1"/>
    </xf>
    <xf numFmtId="2" fontId="9" fillId="0" borderId="3" xfId="0" applyNumberFormat="1" applyFont="1" applyBorder="1" applyAlignment="1">
      <alignment horizontal="center" vertical="center" wrapText="1"/>
    </xf>
    <xf numFmtId="2" fontId="9" fillId="7" borderId="3"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10" fillId="6" borderId="3" xfId="0" applyFont="1" applyFill="1" applyBorder="1" applyAlignment="1">
      <alignment wrapText="1"/>
    </xf>
    <xf numFmtId="2" fontId="3" fillId="8" borderId="0" xfId="0" applyNumberFormat="1" applyFont="1" applyFill="1" applyAlignment="1">
      <alignment horizontal="right" vertical="center" wrapText="1"/>
    </xf>
    <xf numFmtId="2" fontId="3" fillId="9" borderId="0" xfId="0" applyNumberFormat="1" applyFont="1" applyFill="1" applyAlignment="1">
      <alignment wrapText="1"/>
    </xf>
    <xf numFmtId="2" fontId="3" fillId="10" borderId="0" xfId="0" applyNumberFormat="1" applyFont="1" applyFill="1" applyAlignment="1">
      <alignment wrapText="1"/>
    </xf>
    <xf numFmtId="2" fontId="3" fillId="8" borderId="0" xfId="0" applyNumberFormat="1" applyFont="1" applyFill="1" applyAlignment="1">
      <alignment wrapText="1"/>
    </xf>
    <xf numFmtId="0" fontId="10" fillId="0" borderId="3" xfId="0" applyFont="1" applyBorder="1" applyAlignment="1">
      <alignment wrapText="1"/>
    </xf>
    <xf numFmtId="0" fontId="10" fillId="6" borderId="3" xfId="0" applyFont="1" applyFill="1" applyBorder="1" applyAlignment="1">
      <alignment wrapText="1"/>
    </xf>
    <xf numFmtId="0" fontId="3" fillId="6" borderId="0" xfId="0" applyFont="1" applyFill="1" applyAlignment="1">
      <alignment wrapText="1"/>
    </xf>
    <xf numFmtId="2" fontId="3" fillId="6" borderId="0" xfId="0" applyNumberFormat="1" applyFont="1" applyFill="1" applyAlignment="1">
      <alignment wrapText="1"/>
    </xf>
    <xf numFmtId="0" fontId="10" fillId="6" borderId="0" xfId="0" applyFont="1" applyFill="1" applyAlignment="1">
      <alignment wrapText="1"/>
    </xf>
    <xf numFmtId="2" fontId="3" fillId="6" borderId="0" xfId="0" applyNumberFormat="1" applyFont="1" applyFill="1" applyAlignment="1">
      <alignment horizontal="right" vertical="center" wrapText="1"/>
    </xf>
    <xf numFmtId="0" fontId="1" fillId="6" borderId="0" xfId="0" applyFont="1" applyFill="1"/>
    <xf numFmtId="0" fontId="3" fillId="6" borderId="0" xfId="0" applyFont="1" applyFill="1" applyAlignment="1">
      <alignment horizontal="center" vertical="center" wrapText="1"/>
    </xf>
    <xf numFmtId="3" fontId="3" fillId="6" borderId="0" xfId="0" applyNumberFormat="1" applyFont="1" applyFill="1"/>
    <xf numFmtId="0" fontId="10" fillId="6" borderId="0" xfId="0" applyFont="1" applyFill="1" applyAlignment="1">
      <alignment wrapText="1"/>
    </xf>
    <xf numFmtId="2" fontId="3" fillId="11" borderId="0" xfId="0" applyNumberFormat="1" applyFont="1" applyFill="1" applyAlignment="1">
      <alignment horizontal="right" vertical="center" wrapText="1"/>
    </xf>
    <xf numFmtId="0" fontId="1" fillId="6" borderId="0" xfId="0" applyFont="1" applyFill="1" applyAlignment="1"/>
    <xf numFmtId="2" fontId="3" fillId="11" borderId="0" xfId="0" applyNumberFormat="1" applyFont="1" applyFill="1" applyAlignment="1">
      <alignment wrapText="1"/>
    </xf>
    <xf numFmtId="0" fontId="1" fillId="0" borderId="0" xfId="0" applyFont="1" applyAlignment="1"/>
    <xf numFmtId="0" fontId="3" fillId="0" borderId="0" xfId="0" applyFont="1" applyAlignment="1">
      <alignment wrapText="1"/>
    </xf>
    <xf numFmtId="0" fontId="9" fillId="0" borderId="3" xfId="0" applyFont="1" applyBorder="1" applyAlignment="1">
      <alignment horizontal="center" vertical="center" wrapText="1"/>
    </xf>
    <xf numFmtId="2" fontId="11" fillId="0" borderId="0" xfId="0" applyNumberFormat="1" applyFont="1"/>
    <xf numFmtId="1" fontId="11" fillId="0" borderId="0" xfId="0" applyNumberFormat="1" applyFont="1"/>
    <xf numFmtId="2" fontId="11" fillId="0" borderId="0" xfId="0" applyNumberFormat="1" applyFont="1" applyAlignment="1"/>
    <xf numFmtId="2" fontId="3" fillId="0" borderId="3" xfId="0" applyNumberFormat="1" applyFont="1" applyBorder="1" applyAlignment="1">
      <alignment horizontal="center"/>
    </xf>
    <xf numFmtId="2" fontId="3" fillId="0" borderId="0" xfId="0" applyNumberFormat="1" applyFont="1" applyAlignment="1">
      <alignment horizontal="center"/>
    </xf>
    <xf numFmtId="2" fontId="3" fillId="6" borderId="5" xfId="0" applyNumberFormat="1" applyFont="1" applyFill="1" applyBorder="1" applyAlignment="1">
      <alignment horizontal="center"/>
    </xf>
    <xf numFmtId="10" fontId="11" fillId="0" borderId="0" xfId="0" applyNumberFormat="1" applyFont="1"/>
    <xf numFmtId="164" fontId="11" fillId="0" borderId="0" xfId="0" applyNumberFormat="1" applyFont="1"/>
    <xf numFmtId="0" fontId="10" fillId="0" borderId="3" xfId="0" applyFont="1" applyBorder="1" applyAlignment="1">
      <alignment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10" borderId="0" xfId="0" applyFont="1" applyFill="1" applyAlignment="1">
      <alignment horizontal="center" vertical="center" wrapText="1"/>
    </xf>
    <xf numFmtId="0" fontId="6" fillId="4" borderId="0" xfId="0" applyFont="1" applyFill="1" applyAlignment="1">
      <alignment horizontal="center" vertical="center" wrapText="1"/>
    </xf>
    <xf numFmtId="0" fontId="3" fillId="0" borderId="1" xfId="0" applyFont="1" applyBorder="1" applyAlignment="1">
      <alignment horizontal="center" vertical="center" wrapText="1"/>
    </xf>
    <xf numFmtId="0" fontId="3" fillId="13" borderId="2"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6" fillId="11" borderId="0" xfId="0" applyFont="1" applyFill="1" applyAlignment="1">
      <alignment horizontal="center" vertical="center" wrapText="1"/>
    </xf>
    <xf numFmtId="0" fontId="12" fillId="6" borderId="3" xfId="0" applyFont="1" applyFill="1" applyBorder="1" applyAlignment="1">
      <alignment wrapText="1"/>
    </xf>
    <xf numFmtId="0" fontId="12" fillId="6" borderId="0" xfId="0" applyFont="1" applyFill="1" applyAlignment="1">
      <alignment wrapText="1"/>
    </xf>
    <xf numFmtId="0" fontId="12" fillId="0" borderId="0" xfId="0" applyFont="1" applyAlignment="1">
      <alignment horizontal="center" vertical="center" wrapText="1"/>
    </xf>
    <xf numFmtId="0" fontId="12" fillId="0" borderId="3" xfId="0" applyFont="1" applyBorder="1"/>
    <xf numFmtId="164" fontId="12" fillId="0" borderId="0" xfId="0" applyNumberFormat="1" applyFont="1" applyAlignment="1">
      <alignment horizontal="center"/>
    </xf>
    <xf numFmtId="0" fontId="12" fillId="0" borderId="0" xfId="0" applyFont="1"/>
    <xf numFmtId="0" fontId="12" fillId="0" borderId="5" xfId="0" applyFont="1" applyBorder="1"/>
    <xf numFmtId="0" fontId="12" fillId="0" borderId="3" xfId="0" applyFont="1" applyBorder="1" applyAlignment="1">
      <alignment horizontal="center" wrapText="1"/>
    </xf>
    <xf numFmtId="0" fontId="12" fillId="13" borderId="0" xfId="0" applyFont="1" applyFill="1" applyAlignment="1">
      <alignment vertical="center" wrapText="1"/>
    </xf>
    <xf numFmtId="0" fontId="12" fillId="0" borderId="0" xfId="0" applyFont="1" applyAlignment="1">
      <alignment vertical="center" wrapText="1"/>
    </xf>
    <xf numFmtId="0" fontId="12" fillId="11" borderId="0" xfId="0" applyFont="1" applyFill="1" applyAlignment="1">
      <alignment vertical="center" wrapText="1"/>
    </xf>
    <xf numFmtId="0" fontId="13" fillId="6" borderId="3" xfId="0" applyFont="1" applyFill="1" applyBorder="1" applyAlignment="1">
      <alignment wrapText="1"/>
    </xf>
    <xf numFmtId="164" fontId="3" fillId="0" borderId="3" xfId="0" applyNumberFormat="1" applyFont="1" applyBorder="1" applyAlignment="1">
      <alignment horizontal="center"/>
    </xf>
    <xf numFmtId="164" fontId="3" fillId="0" borderId="0" xfId="0" applyNumberFormat="1" applyFont="1" applyAlignment="1">
      <alignment horizontal="center"/>
    </xf>
    <xf numFmtId="164" fontId="3" fillId="0" borderId="5" xfId="0" applyNumberFormat="1" applyFont="1" applyBorder="1" applyAlignment="1">
      <alignment horizontal="center"/>
    </xf>
    <xf numFmtId="164" fontId="3" fillId="13" borderId="0" xfId="0" applyNumberFormat="1" applyFont="1" applyFill="1"/>
    <xf numFmtId="164" fontId="14" fillId="0" borderId="0" xfId="0" applyNumberFormat="1" applyFont="1"/>
    <xf numFmtId="164" fontId="3" fillId="11" borderId="0" xfId="0" applyNumberFormat="1" applyFont="1" applyFill="1"/>
    <xf numFmtId="0" fontId="3" fillId="6" borderId="3" xfId="0" applyFont="1" applyFill="1" applyBorder="1" applyAlignment="1">
      <alignment wrapText="1"/>
    </xf>
    <xf numFmtId="2" fontId="15" fillId="0" borderId="5" xfId="0" applyNumberFormat="1" applyFont="1" applyBorder="1"/>
    <xf numFmtId="164" fontId="3" fillId="0" borderId="0" xfId="0" applyNumberFormat="1" applyFont="1"/>
    <xf numFmtId="0" fontId="16" fillId="6" borderId="3" xfId="0" applyFont="1" applyFill="1" applyBorder="1" applyAlignment="1">
      <alignment wrapText="1"/>
    </xf>
    <xf numFmtId="0" fontId="16" fillId="0" borderId="3" xfId="0" applyFont="1" applyBorder="1" applyAlignment="1">
      <alignment wrapText="1"/>
    </xf>
    <xf numFmtId="0" fontId="16" fillId="0" borderId="7" xfId="0" applyFont="1" applyBorder="1" applyAlignment="1">
      <alignment wrapText="1"/>
    </xf>
    <xf numFmtId="0" fontId="3" fillId="6" borderId="8" xfId="0" applyFont="1" applyFill="1" applyBorder="1" applyAlignment="1">
      <alignment wrapText="1"/>
    </xf>
    <xf numFmtId="164" fontId="3" fillId="0" borderId="7" xfId="0" applyNumberFormat="1" applyFont="1" applyBorder="1" applyAlignment="1">
      <alignment horizontal="center"/>
    </xf>
    <xf numFmtId="164" fontId="3" fillId="0" borderId="8" xfId="0" applyNumberFormat="1" applyFont="1" applyBorder="1" applyAlignment="1">
      <alignment horizontal="center"/>
    </xf>
    <xf numFmtId="2" fontId="15" fillId="0" borderId="9" xfId="0" applyNumberFormat="1" applyFont="1" applyBorder="1"/>
    <xf numFmtId="2" fontId="1" fillId="0" borderId="0" xfId="0" applyNumberFormat="1" applyFont="1"/>
    <xf numFmtId="0" fontId="3" fillId="0" borderId="3" xfId="0" applyFont="1" applyBorder="1" applyAlignment="1">
      <alignment wrapText="1"/>
    </xf>
    <xf numFmtId="0" fontId="3" fillId="16" borderId="0" xfId="0" applyFont="1" applyFill="1" applyAlignment="1">
      <alignment wrapText="1"/>
    </xf>
    <xf numFmtId="0" fontId="3" fillId="0" borderId="5" xfId="0" applyFont="1" applyBorder="1" applyAlignment="1">
      <alignment wrapText="1"/>
    </xf>
    <xf numFmtId="0" fontId="3" fillId="0" borderId="0" xfId="0" applyFont="1" applyAlignment="1">
      <alignment vertical="center" wrapText="1"/>
    </xf>
    <xf numFmtId="0" fontId="3" fillId="13" borderId="0" xfId="0" applyFont="1" applyFill="1" applyAlignment="1">
      <alignment horizontal="center" vertical="center" wrapText="1"/>
    </xf>
    <xf numFmtId="0" fontId="1" fillId="6" borderId="0" xfId="0" applyFont="1" applyFill="1" applyAlignment="1">
      <alignment horizontal="center" vertical="center" wrapText="1"/>
    </xf>
    <xf numFmtId="0" fontId="12" fillId="0" borderId="0" xfId="0" applyFont="1" applyAlignment="1">
      <alignment horizontal="center" wrapText="1"/>
    </xf>
    <xf numFmtId="0" fontId="12" fillId="0" borderId="0" xfId="0" applyFont="1" applyAlignment="1">
      <alignment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0" xfId="0" applyFont="1" applyFill="1" applyAlignment="1">
      <alignment wrapText="1"/>
    </xf>
    <xf numFmtId="165" fontId="3" fillId="13" borderId="0" xfId="0" applyNumberFormat="1" applyFont="1" applyFill="1" applyAlignment="1">
      <alignment wrapText="1"/>
    </xf>
    <xf numFmtId="165" fontId="3" fillId="13" borderId="0" xfId="0" applyNumberFormat="1" applyFont="1" applyFill="1"/>
    <xf numFmtId="165" fontId="15" fillId="13" borderId="0" xfId="0" applyNumberFormat="1" applyFont="1" applyFill="1"/>
    <xf numFmtId="165" fontId="3" fillId="11" borderId="0" xfId="0" applyNumberFormat="1" applyFont="1" applyFill="1" applyAlignment="1">
      <alignment wrapText="1"/>
    </xf>
    <xf numFmtId="0" fontId="16" fillId="6" borderId="0" xfId="0" applyFont="1" applyFill="1" applyAlignment="1">
      <alignment wrapText="1"/>
    </xf>
    <xf numFmtId="0" fontId="16" fillId="0" borderId="0" xfId="0" applyFont="1" applyAlignment="1">
      <alignment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11" borderId="0" xfId="0" applyFont="1" applyFill="1" applyAlignment="1">
      <alignment wrapText="1"/>
    </xf>
    <xf numFmtId="0" fontId="9" fillId="0" borderId="0" xfId="0" applyFont="1" applyAlignment="1">
      <alignment horizontal="center" vertical="center" wrapText="1"/>
    </xf>
    <xf numFmtId="0" fontId="9" fillId="6" borderId="0" xfId="0" applyFont="1" applyFill="1" applyAlignment="1">
      <alignment horizontal="center" vertical="center" wrapText="1"/>
    </xf>
    <xf numFmtId="0" fontId="9" fillId="13" borderId="3"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3" fillId="6" borderId="0" xfId="0" applyFont="1" applyFill="1"/>
    <xf numFmtId="0" fontId="1" fillId="13" borderId="0" xfId="0" applyFont="1" applyFill="1"/>
    <xf numFmtId="0" fontId="1" fillId="11" borderId="0" xfId="0" applyFont="1" applyFill="1"/>
    <xf numFmtId="0" fontId="17" fillId="6" borderId="0" xfId="0" applyFont="1" applyFill="1" applyAlignment="1">
      <alignment wrapText="1"/>
    </xf>
    <xf numFmtId="0" fontId="3" fillId="17" borderId="0" xfId="0" applyFont="1" applyFill="1" applyAlignment="1">
      <alignment wrapText="1"/>
    </xf>
    <xf numFmtId="3" fontId="3" fillId="6" borderId="0" xfId="0" applyNumberFormat="1" applyFont="1" applyFill="1" applyAlignment="1">
      <alignment wrapText="1"/>
    </xf>
    <xf numFmtId="164" fontId="3" fillId="6" borderId="0" xfId="0" applyNumberFormat="1" applyFont="1" applyFill="1" applyAlignment="1">
      <alignment wrapText="1"/>
    </xf>
    <xf numFmtId="0" fontId="3" fillId="6" borderId="0" xfId="0" applyFont="1" applyFill="1" applyAlignment="1">
      <alignment horizontal="center" wrapText="1"/>
    </xf>
    <xf numFmtId="2" fontId="3" fillId="6" borderId="0" xfId="0" applyNumberFormat="1" applyFont="1" applyFill="1" applyAlignment="1">
      <alignment horizontal="center" wrapText="1"/>
    </xf>
    <xf numFmtId="2" fontId="3" fillId="6" borderId="0" xfId="0" applyNumberFormat="1" applyFont="1" applyFill="1"/>
    <xf numFmtId="2" fontId="3" fillId="13" borderId="3" xfId="0" applyNumberFormat="1" applyFont="1" applyFill="1" applyBorder="1" applyAlignment="1">
      <alignment wrapText="1"/>
    </xf>
    <xf numFmtId="3" fontId="3" fillId="0" borderId="0" xfId="0" applyNumberFormat="1" applyFont="1" applyAlignment="1">
      <alignment wrapText="1"/>
    </xf>
    <xf numFmtId="0" fontId="3" fillId="4" borderId="0" xfId="0" applyFont="1" applyFill="1" applyAlignment="1">
      <alignment wrapText="1"/>
    </xf>
    <xf numFmtId="0" fontId="3" fillId="6" borderId="0" xfId="0" applyFont="1" applyFill="1" applyAlignment="1"/>
    <xf numFmtId="0" fontId="3" fillId="0" borderId="0" xfId="0" applyFont="1" applyAlignment="1"/>
    <xf numFmtId="0" fontId="3" fillId="7" borderId="0" xfId="0" applyFont="1" applyFill="1" applyAlignment="1">
      <alignment wrapText="1"/>
    </xf>
    <xf numFmtId="0" fontId="3" fillId="7" borderId="0" xfId="0" applyFont="1" applyFill="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wrapText="1"/>
    </xf>
    <xf numFmtId="0" fontId="3" fillId="0" borderId="0" xfId="0" applyFont="1" applyAlignment="1">
      <alignment horizontal="center" wrapText="1"/>
    </xf>
    <xf numFmtId="0" fontId="9" fillId="0" borderId="5" xfId="0" applyFont="1" applyBorder="1" applyAlignment="1">
      <alignment horizontal="center" vertical="center" wrapText="1"/>
    </xf>
    <xf numFmtId="0" fontId="18" fillId="6" borderId="0" xfId="0" applyFont="1" applyFill="1" applyAlignment="1">
      <alignment wrapText="1"/>
    </xf>
    <xf numFmtId="1" fontId="3" fillId="6" borderId="3" xfId="0" applyNumberFormat="1" applyFont="1" applyFill="1" applyBorder="1" applyAlignment="1">
      <alignment horizontal="center"/>
    </xf>
    <xf numFmtId="0" fontId="19" fillId="0" borderId="0" xfId="0" applyFont="1"/>
    <xf numFmtId="2" fontId="3" fillId="0" borderId="5" xfId="0" applyNumberFormat="1" applyFont="1" applyBorder="1" applyAlignment="1">
      <alignment wrapText="1"/>
    </xf>
    <xf numFmtId="1" fontId="3" fillId="6" borderId="0" xfId="0" applyNumberFormat="1" applyFont="1" applyFill="1" applyAlignment="1">
      <alignment wrapText="1"/>
    </xf>
    <xf numFmtId="2" fontId="3" fillId="0" borderId="0" xfId="0" applyNumberFormat="1" applyFont="1"/>
    <xf numFmtId="2" fontId="3" fillId="0" borderId="0" xfId="0" applyNumberFormat="1" applyFont="1" applyAlignment="1">
      <alignment wrapText="1"/>
    </xf>
    <xf numFmtId="165" fontId="3" fillId="6" borderId="0" xfId="0" applyNumberFormat="1" applyFont="1" applyFill="1" applyAlignment="1">
      <alignment wrapText="1"/>
    </xf>
    <xf numFmtId="2" fontId="3" fillId="13" borderId="0" xfId="0" applyNumberFormat="1" applyFont="1" applyFill="1" applyAlignment="1">
      <alignment wrapText="1"/>
    </xf>
    <xf numFmtId="2" fontId="3" fillId="13" borderId="5" xfId="0" applyNumberFormat="1" applyFont="1" applyFill="1" applyBorder="1" applyAlignment="1">
      <alignment wrapText="1"/>
    </xf>
    <xf numFmtId="1" fontId="3" fillId="6" borderId="7" xfId="0" applyNumberFormat="1" applyFont="1" applyFill="1" applyBorder="1" applyAlignment="1">
      <alignment horizontal="center"/>
    </xf>
    <xf numFmtId="0" fontId="3" fillId="6" borderId="8" xfId="0" applyFont="1" applyFill="1" applyBorder="1"/>
    <xf numFmtId="2" fontId="3" fillId="6" borderId="8" xfId="0" applyNumberFormat="1" applyFont="1" applyFill="1" applyBorder="1" applyAlignment="1">
      <alignment wrapText="1"/>
    </xf>
    <xf numFmtId="1" fontId="3" fillId="6" borderId="8" xfId="0" applyNumberFormat="1" applyFont="1" applyFill="1" applyBorder="1" applyAlignment="1">
      <alignment wrapText="1"/>
    </xf>
    <xf numFmtId="2" fontId="3" fillId="0" borderId="8" xfId="0" applyNumberFormat="1" applyFont="1" applyBorder="1"/>
    <xf numFmtId="0" fontId="6" fillId="18" borderId="0" xfId="0" applyFont="1" applyFill="1" applyAlignment="1">
      <alignment horizontal="center"/>
    </xf>
    <xf numFmtId="0" fontId="6" fillId="5" borderId="0" xfId="0" applyFont="1" applyFill="1" applyAlignment="1">
      <alignment wrapText="1"/>
    </xf>
    <xf numFmtId="0" fontId="3" fillId="5" borderId="0" xfId="0" applyFont="1" applyFill="1" applyAlignment="1">
      <alignment wrapText="1"/>
    </xf>
    <xf numFmtId="0" fontId="3" fillId="15" borderId="0" xfId="0" applyFont="1" applyFill="1" applyAlignment="1">
      <alignment wrapText="1"/>
    </xf>
    <xf numFmtId="0" fontId="20" fillId="5" borderId="0" xfId="0" applyFont="1" applyFill="1" applyAlignment="1">
      <alignment wrapText="1"/>
    </xf>
    <xf numFmtId="0" fontId="20" fillId="5" borderId="0" xfId="0" applyFont="1" applyFill="1" applyAlignment="1">
      <alignment wrapText="1"/>
    </xf>
    <xf numFmtId="0" fontId="3" fillId="0" borderId="0" xfId="0" applyFont="1" applyAlignment="1">
      <alignment horizontal="left"/>
    </xf>
    <xf numFmtId="0" fontId="3" fillId="19" borderId="0" xfId="0" applyFont="1" applyFill="1" applyAlignment="1">
      <alignment horizontal="center"/>
    </xf>
    <xf numFmtId="0" fontId="6" fillId="0" borderId="0" xfId="0" applyFont="1" applyAlignment="1">
      <alignment horizontal="center" vertical="center"/>
    </xf>
    <xf numFmtId="0" fontId="6" fillId="0" borderId="0" xfId="0" applyFont="1" applyAlignment="1">
      <alignment horizontal="center" vertical="center" wrapText="1"/>
    </xf>
    <xf numFmtId="0" fontId="3" fillId="10" borderId="0" xfId="0" applyFont="1" applyFill="1" applyAlignment="1">
      <alignment wrapText="1"/>
    </xf>
    <xf numFmtId="3" fontId="3" fillId="0" borderId="0" xfId="0" applyNumberFormat="1" applyFont="1"/>
    <xf numFmtId="166" fontId="3" fillId="0" borderId="0" xfId="0" applyNumberFormat="1" applyFont="1" applyAlignment="1">
      <alignment horizontal="center"/>
    </xf>
    <xf numFmtId="0" fontId="9" fillId="0" borderId="0" xfId="0" applyFont="1" applyAlignment="1">
      <alignment wrapText="1"/>
    </xf>
    <xf numFmtId="0" fontId="21" fillId="0" borderId="0" xfId="0" applyFont="1"/>
    <xf numFmtId="4" fontId="3" fillId="0" borderId="0" xfId="0" applyNumberFormat="1" applyFont="1"/>
    <xf numFmtId="1" fontId="3" fillId="6" borderId="0" xfId="0" applyNumberFormat="1" applyFont="1" applyFill="1" applyAlignment="1">
      <alignment horizontal="center" wrapText="1"/>
    </xf>
    <xf numFmtId="0" fontId="1" fillId="0" borderId="0" xfId="0" applyFont="1"/>
    <xf numFmtId="0" fontId="20" fillId="5" borderId="0" xfId="0" applyFont="1" applyFill="1" applyAlignment="1">
      <alignment wrapText="1"/>
    </xf>
    <xf numFmtId="0" fontId="1" fillId="5" borderId="0" xfId="0" applyFont="1" applyFill="1"/>
    <xf numFmtId="0" fontId="1" fillId="0" borderId="0" xfId="0" applyFont="1" applyAlignment="1">
      <alignment horizontal="left"/>
    </xf>
    <xf numFmtId="0" fontId="1" fillId="6" borderId="0" xfId="0" applyFont="1" applyFill="1" applyAlignment="1">
      <alignment wrapText="1"/>
    </xf>
    <xf numFmtId="0" fontId="6" fillId="0" borderId="0" xfId="0" applyFont="1"/>
    <xf numFmtId="0" fontId="6" fillId="5" borderId="0" xfId="0" applyFont="1" applyFill="1" applyAlignment="1"/>
    <xf numFmtId="0" fontId="6" fillId="5" borderId="0" xfId="0" applyFont="1" applyFill="1"/>
    <xf numFmtId="0" fontId="6" fillId="5" borderId="0" xfId="0" applyFont="1" applyFill="1" applyAlignment="1">
      <alignment wrapText="1"/>
    </xf>
    <xf numFmtId="0" fontId="3" fillId="0" borderId="0" xfId="0" applyFont="1" applyAlignment="1">
      <alignment horizontal="right"/>
    </xf>
    <xf numFmtId="0" fontId="22" fillId="0" borderId="0" xfId="0" applyFont="1"/>
    <xf numFmtId="0" fontId="3" fillId="20" borderId="0" xfId="0" applyFont="1" applyFill="1" applyAlignment="1">
      <alignment horizontal="center"/>
    </xf>
    <xf numFmtId="0" fontId="3" fillId="0" borderId="0" xfId="0" applyFont="1" applyAlignment="1">
      <alignment horizontal="center" vertical="center"/>
    </xf>
    <xf numFmtId="0" fontId="3" fillId="21" borderId="0" xfId="0" applyFont="1" applyFill="1" applyAlignment="1">
      <alignment horizontal="center" vertical="center"/>
    </xf>
    <xf numFmtId="0" fontId="3" fillId="0" borderId="0" xfId="0" applyFont="1" applyAlignment="1">
      <alignment horizontal="center"/>
    </xf>
    <xf numFmtId="10" fontId="3" fillId="0" borderId="0" xfId="0" applyNumberFormat="1" applyFont="1" applyAlignment="1">
      <alignment horizontal="center"/>
    </xf>
    <xf numFmtId="164" fontId="3" fillId="6" borderId="0" xfId="0" applyNumberFormat="1" applyFont="1" applyFill="1" applyAlignment="1">
      <alignment horizontal="center"/>
    </xf>
    <xf numFmtId="10" fontId="3" fillId="0" borderId="0" xfId="0" applyNumberFormat="1" applyFont="1"/>
    <xf numFmtId="0" fontId="3" fillId="11" borderId="0" xfId="0" applyFont="1" applyFill="1"/>
    <xf numFmtId="9" fontId="3" fillId="0" borderId="0" xfId="0" applyNumberFormat="1" applyFont="1" applyAlignment="1">
      <alignment horizontal="center"/>
    </xf>
    <xf numFmtId="0" fontId="23" fillId="6" borderId="10" xfId="0" applyFont="1" applyFill="1" applyBorder="1" applyAlignment="1">
      <alignment horizontal="left"/>
    </xf>
    <xf numFmtId="0" fontId="23" fillId="6" borderId="10" xfId="0" applyFont="1" applyFill="1" applyBorder="1" applyAlignment="1">
      <alignment horizontal="center"/>
    </xf>
    <xf numFmtId="0" fontId="23" fillId="6" borderId="0" xfId="0" applyFont="1" applyFill="1" applyAlignment="1">
      <alignment horizontal="center" wrapText="1"/>
    </xf>
    <xf numFmtId="0" fontId="24" fillId="0" borderId="0" xfId="0" applyFont="1" applyAlignment="1">
      <alignment wrapText="1"/>
    </xf>
    <xf numFmtId="0" fontId="25" fillId="0" borderId="0" xfId="0" applyFont="1" applyAlignment="1">
      <alignment horizontal="left"/>
    </xf>
    <xf numFmtId="0" fontId="26" fillId="0" borderId="0" xfId="0" applyFont="1" applyAlignment="1">
      <alignment horizontal="right"/>
    </xf>
    <xf numFmtId="0" fontId="22" fillId="0" borderId="0" xfId="0" applyFont="1" applyAlignment="1">
      <alignment horizontal="center" wrapText="1"/>
    </xf>
    <xf numFmtId="0" fontId="27" fillId="0" borderId="0" xfId="0" applyFont="1" applyAlignment="1">
      <alignment horizontal="left"/>
    </xf>
    <xf numFmtId="0" fontId="3" fillId="0" borderId="0" xfId="0" applyFont="1" applyAlignment="1">
      <alignment horizontal="right"/>
    </xf>
    <xf numFmtId="0" fontId="28" fillId="23" borderId="0" xfId="0" applyFont="1" applyFill="1" applyAlignment="1">
      <alignment horizontal="left"/>
    </xf>
    <xf numFmtId="0" fontId="26" fillId="23" borderId="0" xfId="0" applyFont="1" applyFill="1" applyAlignment="1">
      <alignment horizontal="right"/>
    </xf>
    <xf numFmtId="0" fontId="26" fillId="23" borderId="0" xfId="0" applyFont="1" applyFill="1" applyAlignment="1">
      <alignment horizontal="center"/>
    </xf>
    <xf numFmtId="0" fontId="3" fillId="20" borderId="0" xfId="0" applyFont="1" applyFill="1" applyAlignment="1">
      <alignment wrapText="1"/>
    </xf>
    <xf numFmtId="0" fontId="29" fillId="0" borderId="0" xfId="0" applyFont="1" applyAlignment="1">
      <alignment horizontal="left"/>
    </xf>
    <xf numFmtId="0" fontId="30" fillId="24" borderId="0" xfId="0" applyFont="1" applyFill="1" applyAlignment="1">
      <alignment wrapText="1"/>
    </xf>
    <xf numFmtId="0" fontId="3" fillId="24" borderId="0" xfId="0" applyFont="1" applyFill="1" applyAlignment="1">
      <alignment wrapText="1"/>
    </xf>
    <xf numFmtId="0" fontId="10" fillId="24" borderId="0" xfId="0" applyFont="1" applyFill="1" applyAlignment="1">
      <alignment wrapText="1"/>
    </xf>
    <xf numFmtId="0" fontId="8" fillId="6" borderId="0" xfId="0" applyFont="1" applyFill="1" applyAlignment="1">
      <alignment wrapText="1"/>
    </xf>
    <xf numFmtId="0" fontId="1" fillId="0" borderId="0" xfId="0" applyFont="1" applyAlignment="1">
      <alignment wrapText="1"/>
    </xf>
    <xf numFmtId="0" fontId="0" fillId="0" borderId="0" xfId="0" applyFont="1" applyAlignment="1"/>
    <xf numFmtId="0" fontId="6" fillId="0" borderId="1" xfId="0" applyFont="1" applyBorder="1" applyAlignment="1">
      <alignment horizontal="center" vertical="center" wrapText="1"/>
    </xf>
    <xf numFmtId="0" fontId="7" fillId="0" borderId="1" xfId="0" applyFont="1" applyBorder="1"/>
    <xf numFmtId="0" fontId="6" fillId="10" borderId="0" xfId="0" applyFont="1" applyFill="1" applyAlignment="1">
      <alignment horizontal="center" vertical="center" wrapText="1"/>
    </xf>
    <xf numFmtId="0" fontId="6" fillId="12" borderId="2" xfId="0" applyFont="1" applyFill="1" applyBorder="1" applyAlignment="1">
      <alignment horizontal="center" vertical="center" wrapText="1"/>
    </xf>
    <xf numFmtId="0" fontId="7" fillId="0" borderId="6" xfId="0" applyFont="1" applyBorder="1"/>
    <xf numFmtId="0" fontId="6" fillId="4" borderId="0" xfId="0" applyFont="1" applyFill="1" applyAlignment="1">
      <alignment horizontal="center" vertical="center" wrapText="1"/>
    </xf>
    <xf numFmtId="0" fontId="6" fillId="11" borderId="2" xfId="0" applyFont="1" applyFill="1" applyBorder="1" applyAlignment="1">
      <alignment horizontal="center" vertical="center" wrapText="1"/>
    </xf>
    <xf numFmtId="0" fontId="12" fillId="0" borderId="0" xfId="0" applyFont="1" applyAlignment="1">
      <alignment horizontal="center" vertical="center" wrapText="1"/>
    </xf>
    <xf numFmtId="0" fontId="7" fillId="0" borderId="5" xfId="0" applyFont="1" applyBorder="1"/>
    <xf numFmtId="0" fontId="12" fillId="13" borderId="0" xfId="0" applyFont="1" applyFill="1" applyAlignment="1">
      <alignment horizontal="center" vertical="center"/>
    </xf>
    <xf numFmtId="0" fontId="3" fillId="5" borderId="2"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13" borderId="0" xfId="0" applyFont="1" applyFill="1" applyAlignment="1">
      <alignment horizontal="center" vertical="center" wrapText="1"/>
    </xf>
    <xf numFmtId="0" fontId="3" fillId="10" borderId="0" xfId="0" applyFont="1" applyFill="1" applyAlignment="1">
      <alignment horizontal="center" vertical="center" wrapText="1"/>
    </xf>
    <xf numFmtId="0" fontId="3" fillId="9" borderId="0" xfId="0" applyFont="1" applyFill="1" applyAlignment="1">
      <alignment horizontal="center" vertical="center" wrapText="1"/>
    </xf>
    <xf numFmtId="0" fontId="3" fillId="12" borderId="2" xfId="0" applyFont="1" applyFill="1" applyBorder="1" applyAlignment="1">
      <alignment horizontal="center" vertical="center" wrapText="1"/>
    </xf>
    <xf numFmtId="0" fontId="3" fillId="15" borderId="0" xfId="0" applyFont="1" applyFill="1" applyAlignment="1">
      <alignment horizontal="center" vertical="center" wrapText="1"/>
    </xf>
    <xf numFmtId="0" fontId="6" fillId="8" borderId="1" xfId="0" applyFont="1" applyFill="1" applyBorder="1" applyAlignment="1">
      <alignment horizontal="center" vertical="center" wrapText="1"/>
    </xf>
    <xf numFmtId="0" fontId="6" fillId="18" borderId="0" xfId="0" applyFont="1" applyFill="1" applyAlignment="1">
      <alignment horizontal="center"/>
    </xf>
    <xf numFmtId="0" fontId="3" fillId="19" borderId="0" xfId="0" applyFont="1" applyFill="1" applyAlignment="1">
      <alignment horizontal="center"/>
    </xf>
    <xf numFmtId="0" fontId="3" fillId="0" borderId="0" xfId="0" applyFont="1" applyAlignment="1">
      <alignment vertical="center"/>
    </xf>
    <xf numFmtId="0" fontId="6" fillId="4" borderId="0" xfId="0" applyFont="1" applyFill="1" applyAlignment="1">
      <alignment horizontal="center"/>
    </xf>
    <xf numFmtId="0" fontId="6" fillId="4" borderId="0" xfId="0" applyFont="1" applyFill="1" applyAlignment="1">
      <alignment wrapText="1"/>
    </xf>
    <xf numFmtId="0" fontId="3" fillId="20" borderId="0" xfId="0" applyFont="1" applyFill="1" applyAlignment="1">
      <alignment horizontal="center"/>
    </xf>
    <xf numFmtId="0" fontId="23" fillId="22" borderId="10" xfId="0" applyFont="1" applyFill="1" applyBorder="1" applyAlignment="1">
      <alignment horizontal="center" vertical="center"/>
    </xf>
    <xf numFmtId="0" fontId="7" fillId="0" borderId="10" xfId="0" applyFont="1" applyBorder="1"/>
    <xf numFmtId="0" fontId="23" fillId="4" borderId="10" xfId="0" applyFont="1" applyFill="1" applyBorder="1" applyAlignment="1">
      <alignment horizontal="center" vertical="center"/>
    </xf>
    <xf numFmtId="0" fontId="3" fillId="11"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13" Type="http://schemas.openxmlformats.org/officeDocument/2006/relationships/hyperlink" Target="https://www.currentresults.com/Weather/Idaho/average-annual-temperatures.php" TargetMode="External"/><Relationship Id="rId18" Type="http://schemas.openxmlformats.org/officeDocument/2006/relationships/hyperlink" Target="https://www.currentresults.com/Weather/Kentucky/average-annual-temperatures.php" TargetMode="External"/><Relationship Id="rId26" Type="http://schemas.openxmlformats.org/officeDocument/2006/relationships/hyperlink" Target="https://www.currentresults.com/Weather/Missouri/average-annual-temperatures.php" TargetMode="External"/><Relationship Id="rId39" Type="http://schemas.openxmlformats.org/officeDocument/2006/relationships/hyperlink" Target="https://www.currentresults.com/Weather/Pennsylvania/average-annual-temperatures.php" TargetMode="External"/><Relationship Id="rId21" Type="http://schemas.openxmlformats.org/officeDocument/2006/relationships/hyperlink" Target="https://www.currentresults.com/Weather/Maryland/average-annual-temperatures.php" TargetMode="External"/><Relationship Id="rId34" Type="http://schemas.openxmlformats.org/officeDocument/2006/relationships/hyperlink" Target="https://www.currentresults.com/Weather/North-Carolina/average-annual-temperatures.php" TargetMode="External"/><Relationship Id="rId42" Type="http://schemas.openxmlformats.org/officeDocument/2006/relationships/hyperlink" Target="https://www.currentresults.com/Weather/South-Dakota/average-annual-temperatures.php" TargetMode="External"/><Relationship Id="rId47" Type="http://schemas.openxmlformats.org/officeDocument/2006/relationships/hyperlink" Target="https://www.currentresults.com/Weather/Virginia/average-annual-temperatures.php" TargetMode="External"/><Relationship Id="rId50" Type="http://schemas.openxmlformats.org/officeDocument/2006/relationships/hyperlink" Target="https://www.currentresults.com/Weather/Wisconsin/average-annual-temperatures.php" TargetMode="External"/><Relationship Id="rId7" Type="http://schemas.openxmlformats.org/officeDocument/2006/relationships/hyperlink" Target="https://www.currentresults.com/Weather/Colorado/average-annual-temperatures.php" TargetMode="External"/><Relationship Id="rId2" Type="http://schemas.openxmlformats.org/officeDocument/2006/relationships/hyperlink" Target="https://www.currentresults.com/Weather/Alabama/average-annual-temperatures.php" TargetMode="External"/><Relationship Id="rId16" Type="http://schemas.openxmlformats.org/officeDocument/2006/relationships/hyperlink" Target="https://www.currentresults.com/Weather/Iowa/average-annual-temperatures.php" TargetMode="External"/><Relationship Id="rId29" Type="http://schemas.openxmlformats.org/officeDocument/2006/relationships/hyperlink" Target="https://www.currentresults.com/Weather/Nevada/average-annual-temperatures.php" TargetMode="External"/><Relationship Id="rId11" Type="http://schemas.openxmlformats.org/officeDocument/2006/relationships/hyperlink" Target="https://www.currentresults.com/Weather/Georgia/average-annual-temperatures.php" TargetMode="External"/><Relationship Id="rId24" Type="http://schemas.openxmlformats.org/officeDocument/2006/relationships/hyperlink" Target="https://www.currentresults.com/Weather/Minnesota/average-annual-temperatures.php" TargetMode="External"/><Relationship Id="rId32" Type="http://schemas.openxmlformats.org/officeDocument/2006/relationships/hyperlink" Target="https://www.currentresults.com/Weather/New-Mexico/average-annual-temperatures.php" TargetMode="External"/><Relationship Id="rId37" Type="http://schemas.openxmlformats.org/officeDocument/2006/relationships/hyperlink" Target="https://www.currentresults.com/Weather/Oklahoma/average-annual-temperatures.php" TargetMode="External"/><Relationship Id="rId40" Type="http://schemas.openxmlformats.org/officeDocument/2006/relationships/hyperlink" Target="https://www.currentresults.com/Weather/Rhode-Island/annual-weather-averages.php" TargetMode="External"/><Relationship Id="rId45" Type="http://schemas.openxmlformats.org/officeDocument/2006/relationships/hyperlink" Target="https://www.currentresults.com/Weather/Utah/average-annual-temperatures.php" TargetMode="External"/><Relationship Id="rId5" Type="http://schemas.openxmlformats.org/officeDocument/2006/relationships/hyperlink" Target="https://www.currentresults.com/Weather/Arkansas/average-annual-temperatures.php" TargetMode="External"/><Relationship Id="rId15" Type="http://schemas.openxmlformats.org/officeDocument/2006/relationships/hyperlink" Target="https://www.currentresults.com/Weather/Indiana/average-annual-temperatures.php" TargetMode="External"/><Relationship Id="rId23" Type="http://schemas.openxmlformats.org/officeDocument/2006/relationships/hyperlink" Target="https://www.currentresults.com/Weather/Michigan/average-annual-temperatures.php" TargetMode="External"/><Relationship Id="rId28" Type="http://schemas.openxmlformats.org/officeDocument/2006/relationships/hyperlink" Target="https://www.currentresults.com/Weather/Nebraska/average-annual-temperatures.php" TargetMode="External"/><Relationship Id="rId36" Type="http://schemas.openxmlformats.org/officeDocument/2006/relationships/hyperlink" Target="https://www.currentresults.com/Weather/Ohio/average-annual-temperatures.php" TargetMode="External"/><Relationship Id="rId49" Type="http://schemas.openxmlformats.org/officeDocument/2006/relationships/hyperlink" Target="https://www.currentresults.com/Weather/West-Virginia/average-annual-temperatures.php" TargetMode="External"/><Relationship Id="rId10" Type="http://schemas.openxmlformats.org/officeDocument/2006/relationships/hyperlink" Target="https://www.currentresults.com/Weather/Florida/average-temperatures-florida.php" TargetMode="External"/><Relationship Id="rId19" Type="http://schemas.openxmlformats.org/officeDocument/2006/relationships/hyperlink" Target="https://www.currentresults.com/Weather/Louisiana/average-annual-temperatures.php" TargetMode="External"/><Relationship Id="rId31" Type="http://schemas.openxmlformats.org/officeDocument/2006/relationships/hyperlink" Target="https://www.currentresults.com/Weather/New-Jersey/average-annual-temperatures.php" TargetMode="External"/><Relationship Id="rId44" Type="http://schemas.openxmlformats.org/officeDocument/2006/relationships/hyperlink" Target="https://www.currentresults.com/Weather/Texas/average-annual-temperatures.php" TargetMode="External"/><Relationship Id="rId4" Type="http://schemas.openxmlformats.org/officeDocument/2006/relationships/hyperlink" Target="https://www.currentresults.com/Weather/Arizona/average-temperatures-arizona.php" TargetMode="External"/><Relationship Id="rId9" Type="http://schemas.openxmlformats.org/officeDocument/2006/relationships/hyperlink" Target="https://www.currentresults.com/Weather/Delaware/annual-weather-averages.php" TargetMode="External"/><Relationship Id="rId14" Type="http://schemas.openxmlformats.org/officeDocument/2006/relationships/hyperlink" Target="https://www.currentresults.com/Weather/Illinois/average-annual-temperatures.php" TargetMode="External"/><Relationship Id="rId22" Type="http://schemas.openxmlformats.org/officeDocument/2006/relationships/hyperlink" Target="https://www.currentresults.com/Weather/Massachusetts/average-annual-temperatures.php" TargetMode="External"/><Relationship Id="rId27" Type="http://schemas.openxmlformats.org/officeDocument/2006/relationships/hyperlink" Target="https://www.currentresults.com/Weather/Montana/average-annual-temperatures.php" TargetMode="External"/><Relationship Id="rId30" Type="http://schemas.openxmlformats.org/officeDocument/2006/relationships/hyperlink" Target="https://www.currentresults.com/Weather/New-Hampshire/average-annual-temperatures.php" TargetMode="External"/><Relationship Id="rId35" Type="http://schemas.openxmlformats.org/officeDocument/2006/relationships/hyperlink" Target="https://www.currentresults.com/Weather/North-Dakota/average-annual-temperatures.php" TargetMode="External"/><Relationship Id="rId43" Type="http://schemas.openxmlformats.org/officeDocument/2006/relationships/hyperlink" Target="https://www.currentresults.com/Weather/Tennessee/average-annual-temperatures.php" TargetMode="External"/><Relationship Id="rId48" Type="http://schemas.openxmlformats.org/officeDocument/2006/relationships/hyperlink" Target="https://www.currentresults.com/Weather/Washington/average-annual-temperatures.php" TargetMode="External"/><Relationship Id="rId8" Type="http://schemas.openxmlformats.org/officeDocument/2006/relationships/hyperlink" Target="https://www.currentresults.com/Weather/Connecticut/average-annual-temperatures.php" TargetMode="External"/><Relationship Id="rId51" Type="http://schemas.openxmlformats.org/officeDocument/2006/relationships/hyperlink" Target="https://www.currentresults.com/Weather/Wyoming/average-annual-temperatures.php" TargetMode="External"/><Relationship Id="rId3" Type="http://schemas.openxmlformats.org/officeDocument/2006/relationships/hyperlink" Target="https://www.currentresults.com/Weather/Alaska/average-annual-temperatures.php" TargetMode="External"/><Relationship Id="rId12" Type="http://schemas.openxmlformats.org/officeDocument/2006/relationships/hyperlink" Target="https://www.currentresults.com/Weather/Hawaii/average-temperatures-hawaii.php" TargetMode="External"/><Relationship Id="rId17" Type="http://schemas.openxmlformats.org/officeDocument/2006/relationships/hyperlink" Target="https://www.currentresults.com/Weather/Kansas/average-annual-temperatures.php" TargetMode="External"/><Relationship Id="rId25" Type="http://schemas.openxmlformats.org/officeDocument/2006/relationships/hyperlink" Target="https://www.currentresults.com/Weather/Mississippi/average-annual-temperatures.php" TargetMode="External"/><Relationship Id="rId33" Type="http://schemas.openxmlformats.org/officeDocument/2006/relationships/hyperlink" Target="https://www.currentresults.com/Weather/New-York/average-annual-temperatures.php" TargetMode="External"/><Relationship Id="rId38" Type="http://schemas.openxmlformats.org/officeDocument/2006/relationships/hyperlink" Target="https://www.currentresults.com/Weather/Oregon/average-annual-temperatures.php" TargetMode="External"/><Relationship Id="rId46" Type="http://schemas.openxmlformats.org/officeDocument/2006/relationships/hyperlink" Target="https://www.currentresults.com/Weather/Vermont/average-annual-temperatures.php" TargetMode="External"/><Relationship Id="rId20" Type="http://schemas.openxmlformats.org/officeDocument/2006/relationships/hyperlink" Target="https://www.currentresults.com/Weather/Maine/average-annual-temperatures.php" TargetMode="External"/><Relationship Id="rId41" Type="http://schemas.openxmlformats.org/officeDocument/2006/relationships/hyperlink" Target="https://www.currentresults.com/Weather/South-Carolina/average-annual-temperatures.php" TargetMode="External"/><Relationship Id="rId1" Type="http://schemas.openxmlformats.org/officeDocument/2006/relationships/hyperlink" Target="https://www.currentresults.com/Weather/US/average-annual-state-temperatures.php" TargetMode="External"/><Relationship Id="rId6" Type="http://schemas.openxmlformats.org/officeDocument/2006/relationships/hyperlink" Target="https://www.currentresults.com/Weather/California/average-annual-city-temperatures.php"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google.com/url?q=http://www.aqmd.gov/docs/default-source/planning/Climate-Change/manure-management-project-protocol.pdf&amp;sa=D&amp;source=editors&amp;ust=1670249692633776&amp;usg=AOvVaw3Hr4F4S0IcE8uTFgZ_2Ulb"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essd.copernicus.org/articles/13/1151/2021/essd-13-1151-2021.pdf" TargetMode="External"/><Relationship Id="rId3" Type="http://schemas.openxmlformats.org/officeDocument/2006/relationships/hyperlink" Target="https://www.fao.org/3/ca7510en/ca7510en.pdf" TargetMode="External"/><Relationship Id="rId7" Type="http://schemas.openxmlformats.org/officeDocument/2006/relationships/hyperlink" Target="https://daac.ornl.gov/cgi-bin/dsviewer.pl?ds_id=1902" TargetMode="External"/><Relationship Id="rId2" Type="http://schemas.openxmlformats.org/officeDocument/2006/relationships/hyperlink" Target="https://www.ipcc-nggip.iges.or.jp/public/2006gl/pdf/4_Volume4/V4_10_Ch10_Livestock.pdf" TargetMode="External"/><Relationship Id="rId1" Type="http://schemas.openxmlformats.org/officeDocument/2006/relationships/hyperlink" Target="https://cbmjournal.biomedcentral.com/articles/10.1186/s13021-017-0084-y" TargetMode="External"/><Relationship Id="rId6" Type="http://schemas.openxmlformats.org/officeDocument/2006/relationships/hyperlink" Target="https://ww2.arb.ca.gov/sites/default/files/classic/research/apr/past/16rd001.pdf" TargetMode="External"/><Relationship Id="rId5" Type="http://schemas.openxmlformats.org/officeDocument/2006/relationships/hyperlink" Target="https://www.ncbi.nlm.nih.gov/pmc/articles/PMC7096121/" TargetMode="External"/><Relationship Id="rId10" Type="http://schemas.openxmlformats.org/officeDocument/2006/relationships/hyperlink" Target="https://pubs.acs.org/doi/10.1021/acs.est.7b03332" TargetMode="External"/><Relationship Id="rId4" Type="http://schemas.openxmlformats.org/officeDocument/2006/relationships/hyperlink" Target="https://www3.epa.gov/ttnchie1/conference/ei12/green/mangino.pdf" TargetMode="External"/><Relationship Id="rId9" Type="http://schemas.openxmlformats.org/officeDocument/2006/relationships/hyperlink" Target="http://www.aqmd.gov/docs/default-source/planning/Climate-Change/manure-management-project-protocol.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2.arb.ca.gov/sites/default/files/classic/research/apr/past/16rd001.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2.arb.ca.gov/sites/default/files/classic/research/apr/past/16rd001.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2.arb.ca.gov/sites/default/files/classic/research/apr/past/16rd001.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nass.usda.gov/Quick_Stats/Ag_Overview/stateOverview.php?state=NEW%20YORK" TargetMode="External"/><Relationship Id="rId2" Type="http://schemas.openxmlformats.org/officeDocument/2006/relationships/hyperlink" Target="https://www.nass.usda.gov/Quick_Stats/Ag_Overview/stateOverview.php?state=MINNESOTA" TargetMode="External"/><Relationship Id="rId1" Type="http://schemas.openxmlformats.org/officeDocument/2006/relationships/hyperlink" Target="https://www.nass.usda.gov/Statistics_by_State/California/Publications/Livestock_Releases/Cattle%20Inventory/2022/202201CATTLE.pdf" TargetMode="External"/><Relationship Id="rId5" Type="http://schemas.openxmlformats.org/officeDocument/2006/relationships/hyperlink" Target="https://www.nass.usda.gov/Quick_Stats/Ag_Overview/stateOverview.php?state=WISCONSIN" TargetMode="External"/><Relationship Id="rId4" Type="http://schemas.openxmlformats.org/officeDocument/2006/relationships/hyperlink" Target="https://www.nass.usda.gov/Quick_Stats/Ag_Overview/stateOverview.php?state=MICHIGA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outlinePr summaryBelow="0" summaryRight="0"/>
  </sheetPr>
  <dimension ref="A1:V1000"/>
  <sheetViews>
    <sheetView tabSelected="1" workbookViewId="0">
      <selection sqref="A1:D11"/>
    </sheetView>
  </sheetViews>
  <sheetFormatPr baseColWidth="10" defaultColWidth="12.6640625" defaultRowHeight="15" customHeight="1"/>
  <cols>
    <col min="1" max="1" width="21.6640625" customWidth="1"/>
    <col min="2" max="2" width="115.5" customWidth="1"/>
  </cols>
  <sheetData>
    <row r="1" spans="1:22" ht="36" customHeight="1">
      <c r="A1" s="211" t="s">
        <v>0</v>
      </c>
      <c r="B1" s="212"/>
      <c r="C1" s="212"/>
      <c r="D1" s="212"/>
    </row>
    <row r="2" spans="1:22" ht="15.75" customHeight="1">
      <c r="A2" s="212"/>
      <c r="B2" s="212"/>
      <c r="C2" s="212"/>
      <c r="D2" s="212"/>
    </row>
    <row r="3" spans="1:22" ht="15.75" customHeight="1">
      <c r="A3" s="212"/>
      <c r="B3" s="212"/>
      <c r="C3" s="212"/>
      <c r="D3" s="212"/>
    </row>
    <row r="4" spans="1:22" ht="15.75" customHeight="1">
      <c r="A4" s="212"/>
      <c r="B4" s="212"/>
      <c r="C4" s="212"/>
      <c r="D4" s="212"/>
    </row>
    <row r="5" spans="1:22" ht="15.75" customHeight="1">
      <c r="A5" s="212"/>
      <c r="B5" s="212"/>
      <c r="C5" s="212"/>
      <c r="D5" s="212"/>
    </row>
    <row r="6" spans="1:22" ht="15.75" customHeight="1">
      <c r="A6" s="212"/>
      <c r="B6" s="212"/>
      <c r="C6" s="212"/>
      <c r="D6" s="212"/>
    </row>
    <row r="7" spans="1:22" ht="15.75" customHeight="1">
      <c r="A7" s="212"/>
      <c r="B7" s="212"/>
      <c r="C7" s="212"/>
      <c r="D7" s="212"/>
    </row>
    <row r="8" spans="1:22" ht="15.75" customHeight="1">
      <c r="A8" s="212"/>
      <c r="B8" s="212"/>
      <c r="C8" s="212"/>
      <c r="D8" s="212"/>
    </row>
    <row r="9" spans="1:22" ht="15.75" customHeight="1">
      <c r="A9" s="212"/>
      <c r="B9" s="212"/>
      <c r="C9" s="212"/>
      <c r="D9" s="212"/>
    </row>
    <row r="10" spans="1:22" ht="15.75" customHeight="1">
      <c r="A10" s="212"/>
      <c r="B10" s="212"/>
      <c r="C10" s="212"/>
      <c r="D10" s="212"/>
    </row>
    <row r="11" spans="1:22" ht="87" customHeight="1">
      <c r="A11" s="212"/>
      <c r="B11" s="212"/>
      <c r="C11" s="212"/>
      <c r="D11" s="212"/>
    </row>
    <row r="12" spans="1:22" ht="15.75" customHeight="1">
      <c r="A12" s="1"/>
    </row>
    <row r="13" spans="1:22" ht="12.75" customHeight="1">
      <c r="A13" s="2"/>
      <c r="B13" s="3"/>
      <c r="C13" s="3"/>
      <c r="D13" s="3"/>
      <c r="E13" s="3"/>
      <c r="F13" s="3"/>
      <c r="G13" s="3"/>
      <c r="H13" s="3"/>
      <c r="I13" s="3"/>
      <c r="J13" s="3"/>
      <c r="K13" s="3"/>
      <c r="L13" s="3"/>
      <c r="M13" s="3"/>
      <c r="N13" s="3"/>
      <c r="O13" s="3"/>
      <c r="P13" s="3"/>
      <c r="Q13" s="3"/>
      <c r="R13" s="3"/>
      <c r="S13" s="3"/>
      <c r="T13" s="3"/>
      <c r="U13" s="3"/>
      <c r="V13" s="3"/>
    </row>
    <row r="14" spans="1:22" ht="15.75" customHeight="1">
      <c r="A14" s="4" t="s">
        <v>1</v>
      </c>
      <c r="B14" s="5" t="s">
        <v>2</v>
      </c>
      <c r="C14" s="6"/>
      <c r="D14" s="6"/>
      <c r="E14" s="6"/>
      <c r="F14" s="7"/>
      <c r="G14" s="7"/>
      <c r="H14" s="7"/>
      <c r="I14" s="7"/>
      <c r="J14" s="7"/>
      <c r="K14" s="7"/>
      <c r="L14" s="7"/>
      <c r="M14" s="7"/>
      <c r="N14" s="7"/>
      <c r="O14" s="7"/>
      <c r="P14" s="7"/>
      <c r="Q14" s="7"/>
      <c r="R14" s="7"/>
      <c r="S14" s="7"/>
      <c r="T14" s="7"/>
      <c r="U14" s="7"/>
      <c r="V14" s="7"/>
    </row>
    <row r="15" spans="1:22" ht="15.75" customHeight="1">
      <c r="A15" s="8" t="s">
        <v>3</v>
      </c>
      <c r="B15" s="9" t="s">
        <v>4</v>
      </c>
      <c r="C15" s="6"/>
      <c r="D15" s="6"/>
      <c r="E15" s="6"/>
      <c r="F15" s="7"/>
      <c r="G15" s="7"/>
      <c r="H15" s="7"/>
      <c r="I15" s="7"/>
      <c r="J15" s="7"/>
      <c r="K15" s="7"/>
      <c r="L15" s="7"/>
      <c r="M15" s="7"/>
      <c r="N15" s="7"/>
      <c r="O15" s="7"/>
      <c r="P15" s="7"/>
      <c r="Q15" s="7"/>
      <c r="R15" s="7"/>
      <c r="S15" s="7"/>
      <c r="T15" s="7"/>
      <c r="U15" s="7"/>
      <c r="V15" s="7"/>
    </row>
    <row r="16" spans="1:22" ht="15.75" customHeight="1">
      <c r="A16" s="10" t="s">
        <v>5</v>
      </c>
      <c r="B16" s="9" t="s">
        <v>6</v>
      </c>
      <c r="C16" s="6"/>
      <c r="D16" s="6"/>
      <c r="E16" s="6"/>
      <c r="F16" s="7"/>
      <c r="G16" s="7"/>
      <c r="H16" s="7"/>
      <c r="I16" s="7"/>
      <c r="J16" s="7"/>
      <c r="K16" s="7"/>
      <c r="L16" s="7"/>
      <c r="M16" s="7"/>
      <c r="N16" s="7"/>
      <c r="O16" s="7"/>
      <c r="P16" s="7"/>
      <c r="Q16" s="7"/>
      <c r="R16" s="7"/>
      <c r="S16" s="7"/>
      <c r="T16" s="7"/>
      <c r="U16" s="7"/>
      <c r="V16" s="7"/>
    </row>
    <row r="17" spans="1:22" ht="15.75" customHeight="1">
      <c r="A17" s="11" t="s">
        <v>7</v>
      </c>
      <c r="B17" s="9" t="s">
        <v>8</v>
      </c>
      <c r="C17" s="6"/>
      <c r="D17" s="6"/>
      <c r="E17" s="6"/>
      <c r="F17" s="7"/>
      <c r="G17" s="7"/>
      <c r="H17" s="7"/>
      <c r="I17" s="7"/>
      <c r="J17" s="7"/>
      <c r="K17" s="7"/>
      <c r="L17" s="7"/>
      <c r="M17" s="7"/>
      <c r="N17" s="7"/>
      <c r="O17" s="7"/>
      <c r="P17" s="7"/>
      <c r="Q17" s="7"/>
      <c r="R17" s="7"/>
      <c r="S17" s="7"/>
      <c r="T17" s="7"/>
      <c r="U17" s="7"/>
      <c r="V17" s="7"/>
    </row>
    <row r="18" spans="1:22" ht="15.75" customHeight="1">
      <c r="A18" s="10" t="s">
        <v>9</v>
      </c>
      <c r="B18" s="9" t="s">
        <v>10</v>
      </c>
      <c r="C18" s="6"/>
      <c r="D18" s="6"/>
      <c r="E18" s="6"/>
      <c r="F18" s="7"/>
      <c r="G18" s="7"/>
      <c r="H18" s="7"/>
      <c r="I18" s="7"/>
      <c r="J18" s="7"/>
      <c r="K18" s="7"/>
      <c r="L18" s="7"/>
      <c r="M18" s="7"/>
      <c r="N18" s="7"/>
      <c r="O18" s="7"/>
      <c r="P18" s="7"/>
      <c r="Q18" s="7"/>
      <c r="R18" s="7"/>
      <c r="S18" s="7"/>
      <c r="T18" s="7"/>
      <c r="U18" s="7"/>
      <c r="V18" s="7"/>
    </row>
    <row r="19" spans="1:22" ht="15.75" customHeight="1">
      <c r="A19" s="11" t="s">
        <v>11</v>
      </c>
      <c r="B19" s="9" t="s">
        <v>12</v>
      </c>
      <c r="C19" s="6"/>
      <c r="D19" s="6"/>
      <c r="E19" s="6"/>
      <c r="F19" s="7"/>
      <c r="G19" s="7"/>
      <c r="H19" s="7"/>
      <c r="I19" s="7"/>
      <c r="J19" s="7"/>
      <c r="K19" s="7"/>
      <c r="L19" s="7"/>
      <c r="M19" s="7"/>
      <c r="N19" s="7"/>
      <c r="O19" s="7"/>
      <c r="P19" s="7"/>
      <c r="Q19" s="7"/>
      <c r="R19" s="7"/>
      <c r="S19" s="7"/>
      <c r="T19" s="7"/>
      <c r="U19" s="7"/>
      <c r="V19" s="7"/>
    </row>
    <row r="20" spans="1:22" ht="15.75" customHeight="1">
      <c r="A20" s="12" t="s">
        <v>13</v>
      </c>
      <c r="B20" s="9" t="s">
        <v>14</v>
      </c>
      <c r="C20" s="6"/>
      <c r="D20" s="6"/>
      <c r="E20" s="6"/>
      <c r="F20" s="7"/>
      <c r="G20" s="7"/>
      <c r="H20" s="7"/>
      <c r="I20" s="7"/>
      <c r="J20" s="7"/>
      <c r="K20" s="7"/>
      <c r="L20" s="7"/>
      <c r="M20" s="7"/>
      <c r="N20" s="7"/>
      <c r="O20" s="7"/>
      <c r="P20" s="7"/>
      <c r="Q20" s="7"/>
      <c r="R20" s="7"/>
      <c r="S20" s="7"/>
      <c r="T20" s="7"/>
      <c r="U20" s="7"/>
      <c r="V20" s="7"/>
    </row>
    <row r="21" spans="1:22" ht="15.75" customHeight="1">
      <c r="A21" s="13" t="s">
        <v>15</v>
      </c>
      <c r="B21" s="9" t="s">
        <v>16</v>
      </c>
      <c r="C21" s="6"/>
      <c r="D21" s="6"/>
      <c r="E21" s="6"/>
      <c r="F21" s="7"/>
      <c r="G21" s="7"/>
      <c r="H21" s="7"/>
      <c r="I21" s="7"/>
      <c r="J21" s="7"/>
      <c r="K21" s="7"/>
      <c r="L21" s="7"/>
      <c r="M21" s="7"/>
      <c r="N21" s="7"/>
      <c r="O21" s="7"/>
      <c r="P21" s="7"/>
      <c r="Q21" s="7"/>
      <c r="R21" s="7"/>
      <c r="S21" s="7"/>
      <c r="T21" s="7"/>
      <c r="U21" s="7"/>
      <c r="V21" s="7"/>
    </row>
    <row r="22" spans="1:22" ht="15.75" customHeight="1">
      <c r="A22" s="12" t="s">
        <v>17</v>
      </c>
      <c r="B22" s="9" t="s">
        <v>18</v>
      </c>
      <c r="C22" s="6"/>
      <c r="D22" s="6"/>
      <c r="E22" s="6"/>
      <c r="F22" s="7"/>
      <c r="G22" s="7"/>
      <c r="H22" s="7"/>
      <c r="I22" s="7"/>
      <c r="J22" s="7"/>
      <c r="K22" s="7"/>
      <c r="L22" s="7"/>
      <c r="M22" s="7"/>
      <c r="N22" s="7"/>
      <c r="O22" s="7"/>
      <c r="P22" s="7"/>
      <c r="Q22" s="7"/>
      <c r="R22" s="7"/>
      <c r="S22" s="7"/>
      <c r="T22" s="7"/>
      <c r="U22" s="7"/>
      <c r="V22" s="7"/>
    </row>
    <row r="23" spans="1:22" ht="15.75" customHeight="1">
      <c r="A23" s="12" t="s">
        <v>19</v>
      </c>
      <c r="B23" s="9" t="s">
        <v>20</v>
      </c>
      <c r="C23" s="6"/>
      <c r="D23" s="6"/>
      <c r="E23" s="6"/>
      <c r="F23" s="7"/>
      <c r="G23" s="7"/>
      <c r="H23" s="7"/>
      <c r="I23" s="7"/>
      <c r="J23" s="7"/>
      <c r="K23" s="7"/>
      <c r="L23" s="7"/>
      <c r="M23" s="7"/>
      <c r="N23" s="7"/>
      <c r="O23" s="7"/>
      <c r="P23" s="7"/>
      <c r="Q23" s="7"/>
      <c r="R23" s="7"/>
      <c r="S23" s="7"/>
      <c r="T23" s="7"/>
      <c r="U23" s="7"/>
      <c r="V23" s="7"/>
    </row>
    <row r="24" spans="1:22" ht="15.75" customHeight="1">
      <c r="A24" s="12" t="s">
        <v>21</v>
      </c>
      <c r="B24" s="9" t="s">
        <v>22</v>
      </c>
      <c r="C24" s="6"/>
      <c r="D24" s="6"/>
      <c r="E24" s="6"/>
      <c r="F24" s="7"/>
      <c r="G24" s="7"/>
      <c r="H24" s="7"/>
      <c r="I24" s="7"/>
      <c r="J24" s="7"/>
      <c r="K24" s="7"/>
      <c r="L24" s="7"/>
      <c r="M24" s="7"/>
      <c r="N24" s="7"/>
      <c r="O24" s="7"/>
      <c r="P24" s="7"/>
      <c r="Q24" s="7"/>
      <c r="R24" s="7"/>
      <c r="S24" s="7"/>
      <c r="T24" s="7"/>
      <c r="U24" s="7"/>
      <c r="V24" s="7"/>
    </row>
    <row r="25" spans="1:22" ht="15.75" customHeight="1">
      <c r="A25" s="12" t="s">
        <v>23</v>
      </c>
      <c r="B25" s="9" t="s">
        <v>24</v>
      </c>
      <c r="C25" s="6"/>
      <c r="D25" s="6"/>
      <c r="E25" s="6"/>
      <c r="F25" s="7"/>
      <c r="G25" s="7"/>
      <c r="H25" s="7"/>
      <c r="I25" s="7"/>
      <c r="J25" s="7"/>
      <c r="K25" s="7"/>
      <c r="L25" s="7"/>
      <c r="M25" s="7"/>
      <c r="N25" s="7"/>
      <c r="O25" s="7"/>
      <c r="P25" s="7"/>
      <c r="Q25" s="7"/>
      <c r="R25" s="7"/>
      <c r="S25" s="7"/>
      <c r="T25" s="7"/>
      <c r="U25" s="7"/>
      <c r="V25" s="7"/>
    </row>
    <row r="26" spans="1:22" ht="15.75" customHeight="1">
      <c r="A26" s="12" t="s">
        <v>25</v>
      </c>
      <c r="B26" s="9" t="s">
        <v>26</v>
      </c>
      <c r="C26" s="6"/>
      <c r="D26" s="6"/>
      <c r="E26" s="6"/>
      <c r="F26" s="7"/>
      <c r="G26" s="7"/>
      <c r="H26" s="7"/>
      <c r="I26" s="7"/>
      <c r="J26" s="7"/>
      <c r="K26" s="7"/>
      <c r="L26" s="7"/>
      <c r="M26" s="7"/>
      <c r="N26" s="7"/>
      <c r="O26" s="7"/>
      <c r="P26" s="7"/>
      <c r="Q26" s="7"/>
      <c r="R26" s="7"/>
      <c r="S26" s="7"/>
      <c r="T26" s="7"/>
      <c r="U26" s="7"/>
      <c r="V26" s="7"/>
    </row>
    <row r="27" spans="1:22" ht="15.75" customHeight="1">
      <c r="A27" s="12" t="s">
        <v>27</v>
      </c>
      <c r="B27" s="9" t="s">
        <v>28</v>
      </c>
      <c r="C27" s="6"/>
      <c r="D27" s="6"/>
      <c r="E27" s="6"/>
      <c r="F27" s="7"/>
      <c r="G27" s="7"/>
      <c r="H27" s="7"/>
      <c r="I27" s="7"/>
      <c r="J27" s="7"/>
      <c r="K27" s="7"/>
      <c r="L27" s="7"/>
      <c r="M27" s="7"/>
      <c r="N27" s="7"/>
      <c r="O27" s="7"/>
      <c r="P27" s="7"/>
      <c r="Q27" s="7"/>
      <c r="R27" s="7"/>
      <c r="S27" s="7"/>
      <c r="T27" s="7"/>
      <c r="U27" s="7"/>
      <c r="V27" s="7"/>
    </row>
    <row r="28" spans="1:22" ht="15.75" customHeight="1">
      <c r="A28" s="1"/>
    </row>
    <row r="29" spans="1:22" ht="15.75" customHeight="1">
      <c r="A29" s="1"/>
    </row>
    <row r="30" spans="1:22" ht="15.75" customHeight="1">
      <c r="A30" s="1"/>
    </row>
    <row r="31" spans="1:22" ht="15.75" customHeight="1">
      <c r="A31" s="1"/>
    </row>
    <row r="32" spans="1:22" ht="15.75" customHeight="1">
      <c r="A32" s="1"/>
    </row>
    <row r="33" spans="1:1" ht="15.75" customHeight="1">
      <c r="A33" s="1"/>
    </row>
    <row r="34" spans="1:1" ht="15.75" customHeight="1">
      <c r="A34" s="1"/>
    </row>
    <row r="35" spans="1:1" ht="15.75" customHeight="1">
      <c r="A35" s="1"/>
    </row>
    <row r="36" spans="1:1" ht="15.75" customHeight="1">
      <c r="A36" s="1"/>
    </row>
    <row r="37" spans="1:1" ht="15.75" customHeight="1">
      <c r="A37" s="1"/>
    </row>
    <row r="38" spans="1:1" ht="15.75" customHeight="1">
      <c r="A38" s="1"/>
    </row>
    <row r="39" spans="1:1" ht="15.75" customHeight="1">
      <c r="A39" s="1"/>
    </row>
    <row r="40" spans="1:1" ht="15.75" customHeight="1">
      <c r="A40" s="1"/>
    </row>
    <row r="41" spans="1:1" ht="15.75" customHeight="1">
      <c r="A41" s="1"/>
    </row>
    <row r="42" spans="1:1" ht="15.75" customHeight="1">
      <c r="A42" s="1"/>
    </row>
    <row r="43" spans="1:1" ht="15.75" customHeight="1">
      <c r="A43" s="1"/>
    </row>
    <row r="44" spans="1:1" ht="15.75" customHeight="1">
      <c r="A44" s="1"/>
    </row>
    <row r="45" spans="1:1" ht="15.75" customHeight="1">
      <c r="A45" s="1"/>
    </row>
    <row r="46" spans="1:1" ht="15.75" customHeight="1">
      <c r="A46" s="1"/>
    </row>
    <row r="47" spans="1:1" ht="15.75" customHeight="1">
      <c r="A47" s="1"/>
    </row>
    <row r="48" spans="1:1" ht="15.75" customHeight="1">
      <c r="A48" s="1"/>
    </row>
    <row r="49" spans="1:1" ht="15.75" customHeight="1">
      <c r="A49" s="1"/>
    </row>
    <row r="50" spans="1:1" ht="15.75" customHeight="1">
      <c r="A50" s="1"/>
    </row>
    <row r="51" spans="1:1" ht="15.75" customHeight="1">
      <c r="A51" s="1"/>
    </row>
    <row r="52" spans="1:1" ht="15.75" customHeight="1">
      <c r="A52" s="1"/>
    </row>
    <row r="53" spans="1:1" ht="15.75" customHeight="1">
      <c r="A53" s="1"/>
    </row>
    <row r="54" spans="1:1" ht="15.75" customHeight="1">
      <c r="A54" s="1"/>
    </row>
    <row r="55" spans="1:1" ht="15.75" customHeight="1">
      <c r="A55" s="1"/>
    </row>
    <row r="56" spans="1:1" ht="15.75" customHeight="1">
      <c r="A56" s="1"/>
    </row>
    <row r="57" spans="1:1" ht="15.75" customHeight="1">
      <c r="A57" s="1"/>
    </row>
    <row r="58" spans="1:1" ht="15.75" customHeight="1">
      <c r="A58" s="1"/>
    </row>
    <row r="59" spans="1:1" ht="15.75" customHeight="1">
      <c r="A59" s="1"/>
    </row>
    <row r="60" spans="1:1" ht="15.75" customHeight="1">
      <c r="A60" s="1"/>
    </row>
    <row r="61" spans="1:1" ht="15.75" customHeight="1">
      <c r="A61" s="1"/>
    </row>
    <row r="62" spans="1:1" ht="15.75" customHeight="1">
      <c r="A62" s="1"/>
    </row>
    <row r="63" spans="1:1" ht="15.75" customHeight="1">
      <c r="A63" s="1"/>
    </row>
    <row r="64" spans="1:1" ht="15.75" customHeight="1">
      <c r="A64" s="1"/>
    </row>
    <row r="65" spans="1:1" ht="15.75" customHeight="1">
      <c r="A65" s="1"/>
    </row>
    <row r="66" spans="1:1" ht="15.75" customHeight="1">
      <c r="A66" s="1"/>
    </row>
    <row r="67" spans="1:1" ht="15.75" customHeight="1">
      <c r="A67" s="1"/>
    </row>
    <row r="68" spans="1:1" ht="15.75" customHeight="1">
      <c r="A68" s="1"/>
    </row>
    <row r="69" spans="1:1" ht="15.75" customHeight="1">
      <c r="A69" s="1"/>
    </row>
    <row r="70" spans="1:1" ht="15.75" customHeight="1">
      <c r="A70" s="1"/>
    </row>
    <row r="71" spans="1:1" ht="15.75" customHeight="1">
      <c r="A71" s="1"/>
    </row>
    <row r="72" spans="1:1" ht="15.75" customHeight="1">
      <c r="A72" s="1"/>
    </row>
    <row r="73" spans="1:1" ht="15.75" customHeight="1">
      <c r="A73" s="1"/>
    </row>
    <row r="74" spans="1:1" ht="15.75" customHeight="1">
      <c r="A74" s="1"/>
    </row>
    <row r="75" spans="1:1" ht="15.75" customHeight="1">
      <c r="A75" s="1"/>
    </row>
    <row r="76" spans="1:1" ht="15.75" customHeight="1">
      <c r="A76" s="1"/>
    </row>
    <row r="77" spans="1:1" ht="15.75" customHeight="1">
      <c r="A77" s="1"/>
    </row>
    <row r="78" spans="1:1" ht="15.75" customHeight="1">
      <c r="A78" s="1"/>
    </row>
    <row r="79" spans="1:1" ht="15.75" customHeight="1">
      <c r="A79" s="1"/>
    </row>
    <row r="80" spans="1:1" ht="15.75" customHeight="1">
      <c r="A80" s="1"/>
    </row>
    <row r="81" spans="1:1" ht="15.75" customHeight="1">
      <c r="A81" s="1"/>
    </row>
    <row r="82" spans="1:1" ht="15.75" customHeight="1">
      <c r="A82" s="1"/>
    </row>
    <row r="83" spans="1:1" ht="15.75" customHeight="1">
      <c r="A83" s="1"/>
    </row>
    <row r="84" spans="1:1" ht="15.75" customHeight="1">
      <c r="A84" s="1"/>
    </row>
    <row r="85" spans="1:1" ht="15.75" customHeight="1">
      <c r="A85" s="1"/>
    </row>
    <row r="86" spans="1:1" ht="15.75" customHeight="1">
      <c r="A86" s="1"/>
    </row>
    <row r="87" spans="1:1" ht="15.75" customHeight="1">
      <c r="A87" s="1"/>
    </row>
    <row r="88" spans="1:1" ht="15.75" customHeight="1">
      <c r="A88" s="1"/>
    </row>
    <row r="89" spans="1:1" ht="15.75" customHeight="1">
      <c r="A89" s="1"/>
    </row>
    <row r="90" spans="1:1" ht="15.75" customHeight="1">
      <c r="A90" s="1"/>
    </row>
    <row r="91" spans="1:1" ht="15.75" customHeight="1">
      <c r="A91" s="1"/>
    </row>
    <row r="92" spans="1:1" ht="15.75" customHeight="1">
      <c r="A92" s="1"/>
    </row>
    <row r="93" spans="1:1" ht="15.75" customHeight="1">
      <c r="A93" s="1"/>
    </row>
    <row r="94" spans="1:1" ht="15.75" customHeight="1">
      <c r="A94" s="1"/>
    </row>
    <row r="95" spans="1:1" ht="15.75" customHeight="1">
      <c r="A95" s="1"/>
    </row>
    <row r="96" spans="1:1" ht="15.75" customHeight="1">
      <c r="A96" s="1"/>
    </row>
    <row r="97" spans="1:1" ht="15.75" customHeight="1">
      <c r="A97" s="1"/>
    </row>
    <row r="98" spans="1:1" ht="15.75" customHeight="1">
      <c r="A98" s="1"/>
    </row>
    <row r="99" spans="1:1" ht="15.75" customHeight="1">
      <c r="A99" s="1"/>
    </row>
    <row r="100" spans="1:1" ht="15.75" customHeight="1">
      <c r="A100" s="1"/>
    </row>
    <row r="101" spans="1:1" ht="15.75" customHeight="1">
      <c r="A101" s="1"/>
    </row>
    <row r="102" spans="1:1" ht="15.75" customHeight="1">
      <c r="A102" s="1"/>
    </row>
    <row r="103" spans="1:1" ht="15.75" customHeight="1">
      <c r="A103" s="1"/>
    </row>
    <row r="104" spans="1:1" ht="15.75" customHeight="1">
      <c r="A104" s="1"/>
    </row>
    <row r="105" spans="1:1" ht="15.75" customHeight="1">
      <c r="A105" s="1"/>
    </row>
    <row r="106" spans="1:1" ht="15.75" customHeight="1">
      <c r="A106" s="1"/>
    </row>
    <row r="107" spans="1:1" ht="15.75" customHeight="1">
      <c r="A107" s="1"/>
    </row>
    <row r="108" spans="1:1" ht="15.75" customHeight="1">
      <c r="A108" s="1"/>
    </row>
    <row r="109" spans="1:1" ht="15.75" customHeight="1">
      <c r="A109" s="1"/>
    </row>
    <row r="110" spans="1:1" ht="15.75" customHeight="1">
      <c r="A110" s="1"/>
    </row>
    <row r="111" spans="1:1" ht="15.75" customHeight="1">
      <c r="A111" s="1"/>
    </row>
    <row r="112" spans="1:1"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row r="229" spans="1:1" ht="15.75" customHeight="1"/>
    <row r="230" spans="1:1" ht="15.75" customHeight="1"/>
    <row r="231" spans="1:1" ht="15.75" customHeight="1"/>
    <row r="232" spans="1:1" ht="15.75" customHeight="1"/>
    <row r="233" spans="1:1" ht="15.75" customHeight="1"/>
    <row r="234" spans="1:1" ht="15.75" customHeight="1"/>
    <row r="235" spans="1:1" ht="15.75" customHeight="1"/>
    <row r="236" spans="1:1" ht="15.75" customHeight="1"/>
    <row r="237" spans="1:1" ht="15.75" customHeight="1"/>
    <row r="238" spans="1:1" ht="15.75" customHeight="1"/>
    <row r="239" spans="1:1" ht="15.75" customHeight="1"/>
    <row r="240" spans="1: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1"/>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J1000"/>
  <sheetViews>
    <sheetView workbookViewId="0"/>
  </sheetViews>
  <sheetFormatPr baseColWidth="10" defaultColWidth="12.6640625" defaultRowHeight="15" customHeight="1"/>
  <cols>
    <col min="2" max="2" width="11.1640625" customWidth="1"/>
  </cols>
  <sheetData>
    <row r="1" spans="1:7" ht="15.75" customHeight="1">
      <c r="A1" s="7" t="s">
        <v>262</v>
      </c>
      <c r="B1" s="7" t="s">
        <v>263</v>
      </c>
      <c r="C1" s="7" t="s">
        <v>264</v>
      </c>
      <c r="D1" s="7" t="s">
        <v>265</v>
      </c>
      <c r="E1" s="7" t="s">
        <v>266</v>
      </c>
      <c r="F1" s="7" t="s">
        <v>267</v>
      </c>
      <c r="G1" s="7"/>
    </row>
    <row r="2" spans="1:7" ht="15.75" customHeight="1">
      <c r="A2" s="236" t="s">
        <v>268</v>
      </c>
      <c r="B2" s="7" t="s">
        <v>45</v>
      </c>
      <c r="C2" s="7">
        <v>63.7</v>
      </c>
      <c r="D2" s="7">
        <v>63.7</v>
      </c>
      <c r="E2" s="7">
        <v>63.7</v>
      </c>
      <c r="F2" s="7">
        <v>63.7</v>
      </c>
      <c r="G2" s="7" t="s">
        <v>269</v>
      </c>
    </row>
    <row r="3" spans="1:7" ht="15.75" customHeight="1">
      <c r="A3" s="212"/>
      <c r="B3" s="7" t="s">
        <v>270</v>
      </c>
      <c r="C3" s="7">
        <v>5.5</v>
      </c>
      <c r="D3" s="7">
        <v>5.8</v>
      </c>
      <c r="E3" s="7">
        <v>5.8</v>
      </c>
      <c r="F3" s="7">
        <v>6.4</v>
      </c>
      <c r="G3" s="7" t="s">
        <v>269</v>
      </c>
    </row>
    <row r="4" spans="1:7" ht="15.75" customHeight="1">
      <c r="A4" s="236" t="s">
        <v>271</v>
      </c>
      <c r="B4" s="7" t="s">
        <v>45</v>
      </c>
      <c r="C4" s="7">
        <v>63.7</v>
      </c>
      <c r="D4" s="7">
        <v>63.7</v>
      </c>
      <c r="E4" s="7">
        <v>63.7</v>
      </c>
      <c r="F4" s="7">
        <v>63.7</v>
      </c>
      <c r="G4" s="7" t="s">
        <v>269</v>
      </c>
    </row>
    <row r="5" spans="1:7" ht="15.75" customHeight="1">
      <c r="A5" s="212"/>
      <c r="B5" s="7" t="s">
        <v>270</v>
      </c>
      <c r="C5" s="7">
        <v>8</v>
      </c>
      <c r="D5" s="7">
        <v>8</v>
      </c>
      <c r="E5" s="7">
        <v>8</v>
      </c>
      <c r="F5" s="7">
        <v>8</v>
      </c>
      <c r="G5" s="7" t="s">
        <v>269</v>
      </c>
    </row>
    <row r="6" spans="1:7" ht="15.75" customHeight="1">
      <c r="A6" s="236" t="s">
        <v>272</v>
      </c>
      <c r="B6" s="7" t="s">
        <v>45</v>
      </c>
      <c r="C6" s="7">
        <v>66.7</v>
      </c>
      <c r="D6" s="7">
        <v>66.7</v>
      </c>
      <c r="E6" s="7">
        <v>66.7</v>
      </c>
      <c r="F6" s="7">
        <v>66.7</v>
      </c>
      <c r="G6" s="7" t="s">
        <v>269</v>
      </c>
    </row>
    <row r="7" spans="1:7" ht="15.75" customHeight="1">
      <c r="A7" s="212"/>
      <c r="B7" s="7" t="s">
        <v>270</v>
      </c>
      <c r="C7" s="7">
        <v>5.4</v>
      </c>
      <c r="D7" s="7">
        <v>5.7</v>
      </c>
      <c r="E7" s="7">
        <v>5.7</v>
      </c>
      <c r="F7" s="7">
        <v>6.3</v>
      </c>
      <c r="G7" s="7" t="s">
        <v>269</v>
      </c>
    </row>
    <row r="8" spans="1:7" ht="15.75" customHeight="1">
      <c r="A8" s="236" t="s">
        <v>273</v>
      </c>
      <c r="B8" s="7" t="s">
        <v>45</v>
      </c>
      <c r="C8" s="7">
        <v>82.5</v>
      </c>
      <c r="D8" s="7">
        <v>82.5</v>
      </c>
      <c r="E8" s="7">
        <v>82.5</v>
      </c>
      <c r="F8" s="7">
        <v>82.5</v>
      </c>
      <c r="G8" s="7" t="s">
        <v>269</v>
      </c>
    </row>
    <row r="9" spans="1:7" ht="15.75" customHeight="1">
      <c r="A9" s="212"/>
      <c r="B9" s="7" t="s">
        <v>270</v>
      </c>
      <c r="C9" s="7">
        <v>3.9</v>
      </c>
      <c r="D9" s="7">
        <v>3.9</v>
      </c>
      <c r="E9" s="7">
        <v>3.9</v>
      </c>
      <c r="F9" s="7">
        <v>3.9</v>
      </c>
      <c r="G9" s="7" t="s">
        <v>269</v>
      </c>
    </row>
    <row r="10" spans="1:7" ht="15.75" customHeight="1">
      <c r="A10" s="236" t="s">
        <v>274</v>
      </c>
      <c r="B10" s="7" t="s">
        <v>45</v>
      </c>
      <c r="C10" s="7">
        <v>83.5</v>
      </c>
      <c r="D10" s="7">
        <v>82.5</v>
      </c>
      <c r="E10" s="7">
        <v>82.5</v>
      </c>
      <c r="F10" s="7">
        <v>82.5</v>
      </c>
      <c r="G10" s="7" t="s">
        <v>269</v>
      </c>
    </row>
    <row r="11" spans="1:7" ht="15.75" customHeight="1">
      <c r="A11" s="212"/>
      <c r="B11" s="7" t="s">
        <v>270</v>
      </c>
      <c r="C11" s="7">
        <v>3.9</v>
      </c>
      <c r="D11" s="7">
        <v>3.9</v>
      </c>
      <c r="E11" s="7">
        <v>3.9</v>
      </c>
      <c r="F11" s="7">
        <v>3.9</v>
      </c>
      <c r="G11" s="7" t="s">
        <v>269</v>
      </c>
    </row>
    <row r="12" spans="1:7" ht="15.75" customHeight="1">
      <c r="A12" s="236" t="s">
        <v>275</v>
      </c>
      <c r="B12" s="7" t="s">
        <v>45</v>
      </c>
      <c r="C12" s="7">
        <v>61.9</v>
      </c>
      <c r="D12" s="7">
        <v>65.599999999999994</v>
      </c>
      <c r="E12" s="7">
        <v>64.5</v>
      </c>
      <c r="F12" s="7">
        <v>64.599999999999994</v>
      </c>
      <c r="G12" s="7" t="s">
        <v>276</v>
      </c>
    </row>
    <row r="13" spans="1:7" ht="15.75" customHeight="1">
      <c r="A13" s="212"/>
      <c r="B13" s="7" t="s">
        <v>270</v>
      </c>
      <c r="C13" s="7">
        <v>6.5</v>
      </c>
      <c r="D13" s="7">
        <v>6.5</v>
      </c>
      <c r="E13" s="7">
        <v>6.5</v>
      </c>
      <c r="F13" s="7">
        <v>6.5</v>
      </c>
      <c r="G13" s="7" t="s">
        <v>276</v>
      </c>
    </row>
    <row r="14" spans="1:7" ht="15.75" customHeight="1">
      <c r="A14" s="236" t="s">
        <v>277</v>
      </c>
      <c r="B14" s="7" t="s">
        <v>45</v>
      </c>
      <c r="C14" s="7">
        <v>61.9</v>
      </c>
      <c r="D14" s="7">
        <v>65.599999999999994</v>
      </c>
      <c r="E14" s="7">
        <v>64.5</v>
      </c>
      <c r="F14" s="7">
        <v>64.599999999999994</v>
      </c>
      <c r="G14" s="7" t="s">
        <v>276</v>
      </c>
    </row>
    <row r="15" spans="1:7" ht="15.75" customHeight="1">
      <c r="A15" s="212"/>
      <c r="B15" s="7" t="s">
        <v>270</v>
      </c>
      <c r="C15" s="7">
        <v>6.5</v>
      </c>
      <c r="D15" s="7">
        <v>6.5</v>
      </c>
      <c r="E15" s="7">
        <v>6.5</v>
      </c>
      <c r="F15" s="7">
        <v>6.5</v>
      </c>
      <c r="G15" s="7" t="s">
        <v>276</v>
      </c>
    </row>
    <row r="16" spans="1:7" ht="15.75" customHeight="1">
      <c r="A16" s="236" t="s">
        <v>278</v>
      </c>
      <c r="B16" s="7" t="s">
        <v>45</v>
      </c>
      <c r="C16" s="7">
        <v>61.9</v>
      </c>
      <c r="D16" s="7">
        <v>65.599999999999994</v>
      </c>
      <c r="E16" s="7">
        <v>64.5</v>
      </c>
      <c r="F16" s="7">
        <v>64.599999999999994</v>
      </c>
      <c r="G16" s="7" t="s">
        <v>276</v>
      </c>
    </row>
    <row r="17" spans="1:10" ht="15.75" customHeight="1">
      <c r="A17" s="212"/>
      <c r="B17" s="7" t="s">
        <v>270</v>
      </c>
      <c r="C17" s="7">
        <v>6.5</v>
      </c>
      <c r="D17" s="7">
        <v>6.5</v>
      </c>
      <c r="E17" s="7">
        <v>6.5</v>
      </c>
      <c r="F17" s="7">
        <v>6.5</v>
      </c>
      <c r="G17" s="7" t="s">
        <v>276</v>
      </c>
    </row>
    <row r="18" spans="1:10" ht="15.75" customHeight="1">
      <c r="A18" s="236" t="s">
        <v>279</v>
      </c>
      <c r="B18" s="7" t="s">
        <v>45</v>
      </c>
      <c r="C18" s="7">
        <v>61.9</v>
      </c>
      <c r="D18" s="7">
        <v>65.599999999999994</v>
      </c>
      <c r="E18" s="7">
        <v>64.5</v>
      </c>
      <c r="F18" s="7">
        <v>64.599999999999994</v>
      </c>
      <c r="G18" s="7" t="s">
        <v>276</v>
      </c>
    </row>
    <row r="19" spans="1:10" ht="15.75" customHeight="1">
      <c r="A19" s="212"/>
      <c r="B19" s="7" t="s">
        <v>270</v>
      </c>
      <c r="C19" s="7">
        <v>6.5</v>
      </c>
      <c r="D19" s="7">
        <v>6.5</v>
      </c>
      <c r="E19" s="7">
        <v>6.5</v>
      </c>
      <c r="F19" s="7">
        <v>6.5</v>
      </c>
      <c r="G19" s="7" t="s">
        <v>276</v>
      </c>
    </row>
    <row r="20" spans="1:10" ht="15.75" customHeight="1">
      <c r="A20" s="236" t="s">
        <v>280</v>
      </c>
      <c r="B20" s="7" t="s">
        <v>45</v>
      </c>
      <c r="C20" s="7">
        <v>59.9</v>
      </c>
      <c r="D20" s="7">
        <v>63.6</v>
      </c>
      <c r="E20" s="7">
        <v>62.5</v>
      </c>
      <c r="F20" s="7">
        <v>62.6</v>
      </c>
      <c r="G20" s="7" t="s">
        <v>276</v>
      </c>
    </row>
    <row r="21" spans="1:10" ht="15.75" customHeight="1">
      <c r="A21" s="212"/>
      <c r="B21" s="7" t="s">
        <v>270</v>
      </c>
      <c r="C21" s="7">
        <v>6.5</v>
      </c>
      <c r="D21" s="7">
        <v>6.5</v>
      </c>
      <c r="E21" s="7">
        <v>6.5</v>
      </c>
      <c r="F21" s="7">
        <v>6.5</v>
      </c>
      <c r="G21" s="7" t="s">
        <v>276</v>
      </c>
    </row>
    <row r="22" spans="1:10" ht="15.75" customHeight="1">
      <c r="A22" s="236" t="s">
        <v>281</v>
      </c>
      <c r="B22" s="7" t="s">
        <v>45</v>
      </c>
      <c r="C22" s="7">
        <v>59.9</v>
      </c>
      <c r="D22" s="7">
        <v>63.6</v>
      </c>
      <c r="E22" s="7">
        <v>62.5</v>
      </c>
      <c r="F22" s="7">
        <v>62.6</v>
      </c>
      <c r="G22" s="7" t="s">
        <v>276</v>
      </c>
    </row>
    <row r="23" spans="1:10" ht="15.75" customHeight="1">
      <c r="A23" s="212"/>
      <c r="B23" s="7" t="s">
        <v>270</v>
      </c>
      <c r="C23" s="7">
        <v>6.5</v>
      </c>
      <c r="D23" s="7">
        <v>6.5</v>
      </c>
      <c r="E23" s="7">
        <v>6.5</v>
      </c>
      <c r="F23" s="7">
        <v>6.5</v>
      </c>
      <c r="G23" s="7" t="s">
        <v>276</v>
      </c>
    </row>
    <row r="24" spans="1:10" ht="15.75" customHeight="1"/>
    <row r="25" spans="1:10" ht="15.75" customHeight="1">
      <c r="A25" s="173" t="s">
        <v>282</v>
      </c>
    </row>
    <row r="26" spans="1:10" ht="35.25" customHeight="1">
      <c r="A26" s="174" t="s">
        <v>31</v>
      </c>
      <c r="B26" s="174" t="s">
        <v>99</v>
      </c>
      <c r="C26" s="161" t="s">
        <v>283</v>
      </c>
      <c r="D26" s="161" t="s">
        <v>284</v>
      </c>
      <c r="E26" s="161" t="s">
        <v>187</v>
      </c>
      <c r="F26" s="161" t="s">
        <v>188</v>
      </c>
      <c r="G26" s="161" t="s">
        <v>96</v>
      </c>
      <c r="H26" s="161" t="s">
        <v>97</v>
      </c>
      <c r="I26" s="175" t="s">
        <v>98</v>
      </c>
      <c r="J26" s="175" t="s">
        <v>285</v>
      </c>
    </row>
    <row r="27" spans="1:10" ht="15.75" customHeight="1">
      <c r="A27" s="44" t="s">
        <v>192</v>
      </c>
      <c r="B27" s="176" t="s">
        <v>40</v>
      </c>
      <c r="C27" s="173">
        <v>3121</v>
      </c>
      <c r="D27" s="173">
        <v>56024</v>
      </c>
      <c r="E27" s="173">
        <v>1431</v>
      </c>
      <c r="F27" s="173">
        <v>3950</v>
      </c>
      <c r="G27" s="173">
        <v>1024</v>
      </c>
      <c r="H27" s="173">
        <v>1055</v>
      </c>
      <c r="I27" s="173">
        <v>320</v>
      </c>
    </row>
    <row r="28" spans="1:10" ht="15.75" customHeight="1">
      <c r="A28" s="44" t="s">
        <v>193</v>
      </c>
      <c r="B28" s="176" t="s">
        <v>194</v>
      </c>
      <c r="C28" s="173">
        <v>37</v>
      </c>
      <c r="D28" s="173">
        <v>662</v>
      </c>
      <c r="E28" s="173">
        <v>16</v>
      </c>
      <c r="F28" s="173">
        <v>43</v>
      </c>
      <c r="G28" s="173">
        <v>15</v>
      </c>
      <c r="H28" s="173">
        <v>10</v>
      </c>
      <c r="I28" s="173">
        <v>4</v>
      </c>
    </row>
    <row r="29" spans="1:10" ht="15.75" customHeight="1">
      <c r="A29" s="44" t="s">
        <v>195</v>
      </c>
      <c r="B29" s="176" t="s">
        <v>42</v>
      </c>
      <c r="C29" s="173">
        <v>939</v>
      </c>
      <c r="D29" s="173">
        <v>16671</v>
      </c>
      <c r="E29" s="173">
        <v>324</v>
      </c>
      <c r="F29" s="173">
        <v>890</v>
      </c>
      <c r="G29" s="173">
        <v>6735</v>
      </c>
      <c r="H29" s="173">
        <v>388</v>
      </c>
      <c r="I29" s="173">
        <v>12037</v>
      </c>
    </row>
    <row r="30" spans="1:10" ht="15.75" customHeight="1">
      <c r="A30" s="44" t="s">
        <v>196</v>
      </c>
      <c r="B30" s="176" t="s">
        <v>41</v>
      </c>
      <c r="C30" s="173">
        <v>4104</v>
      </c>
      <c r="D30" s="173">
        <v>73653</v>
      </c>
      <c r="E30" s="173">
        <v>1804</v>
      </c>
      <c r="F30" s="173">
        <v>4979</v>
      </c>
      <c r="G30" s="173">
        <v>2616</v>
      </c>
      <c r="H30" s="173">
        <v>1679</v>
      </c>
      <c r="I30" s="173">
        <v>666</v>
      </c>
    </row>
    <row r="31" spans="1:10" ht="15.75" customHeight="1">
      <c r="A31" s="44" t="s">
        <v>197</v>
      </c>
      <c r="B31" s="176" t="s">
        <v>37</v>
      </c>
      <c r="C31" s="173">
        <v>3171</v>
      </c>
      <c r="D31" s="173">
        <v>56285</v>
      </c>
      <c r="E31" s="173">
        <v>1557</v>
      </c>
      <c r="F31" s="173">
        <v>4274</v>
      </c>
      <c r="G31" s="173">
        <v>15185</v>
      </c>
      <c r="H31" s="173">
        <v>5428</v>
      </c>
      <c r="I31" s="173">
        <v>25489</v>
      </c>
    </row>
    <row r="32" spans="1:10" ht="15.75" customHeight="1">
      <c r="A32" s="44" t="s">
        <v>198</v>
      </c>
      <c r="B32" s="176" t="s">
        <v>43</v>
      </c>
      <c r="C32" s="173">
        <v>3732</v>
      </c>
      <c r="D32" s="173">
        <v>66253</v>
      </c>
      <c r="E32" s="173">
        <v>2011</v>
      </c>
      <c r="F32" s="173">
        <v>5520</v>
      </c>
      <c r="G32" s="173">
        <v>19104</v>
      </c>
      <c r="H32" s="173">
        <v>14733</v>
      </c>
      <c r="I32" s="173">
        <v>52866</v>
      </c>
    </row>
    <row r="33" spans="1:9" ht="15.75" customHeight="1">
      <c r="A33" s="44" t="s">
        <v>199</v>
      </c>
      <c r="B33" s="176" t="s">
        <v>44</v>
      </c>
      <c r="C33" s="173">
        <v>25</v>
      </c>
      <c r="D33" s="173">
        <v>444</v>
      </c>
      <c r="E33" s="173">
        <v>24</v>
      </c>
      <c r="F33" s="173">
        <v>67</v>
      </c>
      <c r="G33" s="173">
        <v>34</v>
      </c>
      <c r="H33" s="173">
        <v>36</v>
      </c>
      <c r="I33" s="173">
        <v>11</v>
      </c>
    </row>
    <row r="34" spans="1:9" ht="15.75" customHeight="1">
      <c r="A34" s="44" t="s">
        <v>200</v>
      </c>
      <c r="B34" s="176" t="s">
        <v>45</v>
      </c>
      <c r="C34" s="173">
        <v>10</v>
      </c>
      <c r="D34" s="173">
        <v>178</v>
      </c>
      <c r="E34" s="173">
        <v>8</v>
      </c>
      <c r="F34" s="173">
        <v>23</v>
      </c>
      <c r="G34" s="173">
        <v>59</v>
      </c>
      <c r="H34" s="173">
        <v>12</v>
      </c>
      <c r="I34" s="173">
        <v>11</v>
      </c>
    </row>
    <row r="35" spans="1:9" ht="15.75" customHeight="1">
      <c r="A35" s="44" t="s">
        <v>201</v>
      </c>
      <c r="B35" s="176" t="s">
        <v>46</v>
      </c>
      <c r="C35" s="173">
        <v>4054</v>
      </c>
      <c r="D35" s="173">
        <v>72767</v>
      </c>
      <c r="E35" s="173">
        <v>1563</v>
      </c>
      <c r="F35" s="173">
        <v>4315</v>
      </c>
      <c r="G35" s="173">
        <v>569</v>
      </c>
      <c r="H35" s="173">
        <v>600</v>
      </c>
      <c r="I35" s="173">
        <v>180</v>
      </c>
    </row>
    <row r="36" spans="1:9" ht="15.75" customHeight="1">
      <c r="A36" s="44" t="s">
        <v>202</v>
      </c>
      <c r="B36" s="176" t="s">
        <v>47</v>
      </c>
      <c r="C36" s="173">
        <v>2328</v>
      </c>
      <c r="D36" s="173">
        <v>41777</v>
      </c>
      <c r="E36" s="173">
        <v>1082</v>
      </c>
      <c r="F36" s="173">
        <v>2987</v>
      </c>
      <c r="G36" s="173">
        <v>978</v>
      </c>
      <c r="H36" s="173">
        <v>720</v>
      </c>
      <c r="I36" s="173">
        <v>263</v>
      </c>
    </row>
    <row r="37" spans="1:9" ht="15.75" customHeight="1">
      <c r="A37" s="44" t="s">
        <v>203</v>
      </c>
      <c r="B37" s="176" t="s">
        <v>204</v>
      </c>
      <c r="C37" s="173">
        <v>365</v>
      </c>
      <c r="D37" s="173">
        <v>6471</v>
      </c>
      <c r="E37" s="173">
        <v>143</v>
      </c>
      <c r="F37" s="173">
        <v>392</v>
      </c>
      <c r="G37" s="173">
        <v>245</v>
      </c>
      <c r="H37" s="173">
        <v>129</v>
      </c>
      <c r="I37" s="173">
        <v>54</v>
      </c>
    </row>
    <row r="38" spans="1:9" ht="15.75" customHeight="1">
      <c r="A38" s="44" t="s">
        <v>205</v>
      </c>
      <c r="B38" s="176" t="s">
        <v>49</v>
      </c>
      <c r="C38" s="173">
        <v>2372</v>
      </c>
      <c r="D38" s="173">
        <v>42106</v>
      </c>
      <c r="E38" s="173">
        <v>1686</v>
      </c>
      <c r="F38" s="173">
        <v>4630</v>
      </c>
      <c r="G38" s="173">
        <v>7348</v>
      </c>
      <c r="H38" s="173">
        <v>5170</v>
      </c>
      <c r="I38" s="173">
        <v>14633</v>
      </c>
    </row>
    <row r="39" spans="1:9" ht="15.75" customHeight="1">
      <c r="A39" s="44" t="s">
        <v>206</v>
      </c>
      <c r="B39" s="176" t="s">
        <v>50</v>
      </c>
      <c r="C39" s="173">
        <v>1652</v>
      </c>
      <c r="D39" s="173">
        <v>29746</v>
      </c>
      <c r="E39" s="173">
        <v>703</v>
      </c>
      <c r="F39" s="173">
        <v>1944</v>
      </c>
      <c r="G39" s="173">
        <v>5324</v>
      </c>
      <c r="H39" s="173">
        <v>2104</v>
      </c>
      <c r="I39" s="173">
        <v>11328</v>
      </c>
    </row>
    <row r="40" spans="1:9" ht="15.75" customHeight="1">
      <c r="A40" s="44" t="s">
        <v>207</v>
      </c>
      <c r="B40" s="176" t="s">
        <v>51</v>
      </c>
      <c r="C40" s="173">
        <v>848</v>
      </c>
      <c r="D40" s="173">
        <v>15266</v>
      </c>
      <c r="E40" s="173">
        <v>480</v>
      </c>
      <c r="F40" s="173">
        <v>1328</v>
      </c>
      <c r="G40" s="173">
        <v>2396</v>
      </c>
      <c r="H40" s="173">
        <v>1052</v>
      </c>
      <c r="I40" s="173">
        <v>4956</v>
      </c>
    </row>
    <row r="41" spans="1:9" ht="15.75" customHeight="1">
      <c r="A41" s="44" t="s">
        <v>208</v>
      </c>
      <c r="B41" s="176" t="s">
        <v>48</v>
      </c>
      <c r="C41" s="173">
        <v>3954</v>
      </c>
      <c r="D41" s="173">
        <v>71217</v>
      </c>
      <c r="E41" s="173">
        <v>1699</v>
      </c>
      <c r="F41" s="173">
        <v>4698</v>
      </c>
      <c r="G41" s="173">
        <v>28841</v>
      </c>
      <c r="H41" s="173">
        <v>14029</v>
      </c>
      <c r="I41" s="173">
        <v>60891</v>
      </c>
    </row>
    <row r="42" spans="1:9" ht="15.75" customHeight="1">
      <c r="A42" s="44" t="s">
        <v>209</v>
      </c>
      <c r="B42" s="176" t="s">
        <v>52</v>
      </c>
      <c r="C42" s="173">
        <v>6305</v>
      </c>
      <c r="D42" s="173">
        <v>113554</v>
      </c>
      <c r="E42" s="173">
        <v>2930</v>
      </c>
      <c r="F42" s="173">
        <v>8099</v>
      </c>
      <c r="G42" s="173">
        <v>46145</v>
      </c>
      <c r="H42" s="173">
        <v>36241</v>
      </c>
      <c r="I42" s="173">
        <v>121781</v>
      </c>
    </row>
    <row r="43" spans="1:9" ht="15.75" customHeight="1">
      <c r="A43" s="44" t="s">
        <v>210</v>
      </c>
      <c r="B43" s="176" t="s">
        <v>53</v>
      </c>
      <c r="C43" s="173">
        <v>4579</v>
      </c>
      <c r="D43" s="173">
        <v>82185</v>
      </c>
      <c r="E43" s="173">
        <v>1503</v>
      </c>
      <c r="F43" s="173">
        <v>4149</v>
      </c>
      <c r="G43" s="173">
        <v>4892</v>
      </c>
      <c r="H43" s="173">
        <v>2639</v>
      </c>
      <c r="I43" s="173">
        <v>802</v>
      </c>
    </row>
    <row r="44" spans="1:9" ht="15.75" customHeight="1">
      <c r="A44" s="44" t="s">
        <v>211</v>
      </c>
      <c r="B44" s="176" t="s">
        <v>54</v>
      </c>
      <c r="C44" s="173">
        <v>2041</v>
      </c>
      <c r="D44" s="173">
        <v>36625</v>
      </c>
      <c r="E44" s="173">
        <v>986</v>
      </c>
      <c r="F44" s="173">
        <v>2722</v>
      </c>
      <c r="G44" s="173">
        <v>569</v>
      </c>
      <c r="H44" s="173">
        <v>480</v>
      </c>
      <c r="I44" s="173">
        <v>162</v>
      </c>
    </row>
    <row r="45" spans="1:9" ht="15.75" customHeight="1">
      <c r="A45" s="44" t="s">
        <v>212</v>
      </c>
      <c r="B45" s="176" t="s">
        <v>57</v>
      </c>
      <c r="C45" s="173">
        <v>49</v>
      </c>
      <c r="D45" s="173">
        <v>888</v>
      </c>
      <c r="E45" s="173">
        <v>42</v>
      </c>
      <c r="F45" s="173">
        <v>117</v>
      </c>
      <c r="G45" s="173">
        <v>114</v>
      </c>
      <c r="H45" s="173">
        <v>84</v>
      </c>
      <c r="I45" s="173">
        <v>31</v>
      </c>
    </row>
    <row r="46" spans="1:9" ht="15.75" customHeight="1">
      <c r="A46" s="44" t="s">
        <v>213</v>
      </c>
      <c r="B46" s="176" t="s">
        <v>56</v>
      </c>
      <c r="C46" s="173">
        <v>211</v>
      </c>
      <c r="D46" s="173">
        <v>3794</v>
      </c>
      <c r="E46" s="173">
        <v>133</v>
      </c>
      <c r="F46" s="173">
        <v>366</v>
      </c>
      <c r="G46" s="173">
        <v>262</v>
      </c>
      <c r="H46" s="173">
        <v>192</v>
      </c>
      <c r="I46" s="173">
        <v>283</v>
      </c>
    </row>
    <row r="47" spans="1:9" ht="15.75" customHeight="1">
      <c r="A47" s="44" t="s">
        <v>214</v>
      </c>
      <c r="B47" s="176" t="s">
        <v>55</v>
      </c>
      <c r="C47" s="173">
        <v>25</v>
      </c>
      <c r="D47" s="173">
        <v>444</v>
      </c>
      <c r="E47" s="173">
        <v>24</v>
      </c>
      <c r="F47" s="173">
        <v>67</v>
      </c>
      <c r="G47" s="173">
        <v>46</v>
      </c>
      <c r="H47" s="173">
        <v>24</v>
      </c>
      <c r="I47" s="173">
        <v>11</v>
      </c>
    </row>
    <row r="48" spans="1:9" ht="15.75" customHeight="1">
      <c r="A48" s="44" t="s">
        <v>215</v>
      </c>
      <c r="B48" s="176" t="s">
        <v>58</v>
      </c>
      <c r="C48" s="173">
        <v>406</v>
      </c>
      <c r="D48" s="173">
        <v>7318</v>
      </c>
      <c r="E48" s="173">
        <v>270</v>
      </c>
      <c r="F48" s="173">
        <v>745</v>
      </c>
      <c r="G48" s="173">
        <v>3882</v>
      </c>
      <c r="H48" s="173">
        <v>748</v>
      </c>
      <c r="I48" s="173">
        <v>7788</v>
      </c>
    </row>
    <row r="49" spans="1:10" ht="15.75" customHeight="1">
      <c r="A49" s="44" t="s">
        <v>216</v>
      </c>
      <c r="B49" s="176" t="s">
        <v>38</v>
      </c>
      <c r="C49" s="173">
        <v>1494</v>
      </c>
      <c r="D49" s="173">
        <v>28723</v>
      </c>
      <c r="E49" s="173">
        <v>1113</v>
      </c>
      <c r="F49" s="173">
        <v>3078</v>
      </c>
      <c r="G49" s="173">
        <v>11536</v>
      </c>
      <c r="H49" s="173">
        <v>3741</v>
      </c>
      <c r="I49" s="173">
        <v>18881</v>
      </c>
    </row>
    <row r="50" spans="1:10" ht="15.75" customHeight="1">
      <c r="A50" s="44" t="s">
        <v>217</v>
      </c>
      <c r="B50" s="176" t="s">
        <v>60</v>
      </c>
      <c r="C50" s="173">
        <v>2162</v>
      </c>
      <c r="D50" s="173">
        <v>38799</v>
      </c>
      <c r="E50" s="173">
        <v>1082</v>
      </c>
      <c r="F50" s="173">
        <v>2987</v>
      </c>
      <c r="G50" s="173">
        <v>1320</v>
      </c>
      <c r="H50" s="173">
        <v>1031</v>
      </c>
      <c r="I50" s="173">
        <v>363</v>
      </c>
    </row>
    <row r="51" spans="1:10" ht="15.75" customHeight="1">
      <c r="A51" s="44" t="s">
        <v>218</v>
      </c>
      <c r="B51" s="176" t="s">
        <v>59</v>
      </c>
      <c r="C51" s="173">
        <v>9101</v>
      </c>
      <c r="D51" s="173">
        <v>163917</v>
      </c>
      <c r="E51" s="173">
        <v>3926</v>
      </c>
      <c r="F51" s="173">
        <v>10853</v>
      </c>
      <c r="G51" s="173">
        <v>9096</v>
      </c>
      <c r="H51" s="173">
        <v>5144</v>
      </c>
      <c r="I51" s="173">
        <v>5192</v>
      </c>
    </row>
    <row r="52" spans="1:10" ht="15.75" customHeight="1">
      <c r="A52" s="44" t="s">
        <v>219</v>
      </c>
      <c r="B52" s="176" t="s">
        <v>61</v>
      </c>
      <c r="C52" s="173">
        <v>6913</v>
      </c>
      <c r="D52" s="173">
        <v>122710</v>
      </c>
      <c r="E52" s="173">
        <v>5059</v>
      </c>
      <c r="F52" s="173">
        <v>13890</v>
      </c>
      <c r="G52" s="173">
        <v>6123</v>
      </c>
      <c r="H52" s="173">
        <v>5945</v>
      </c>
      <c r="I52" s="173">
        <v>2360</v>
      </c>
    </row>
    <row r="53" spans="1:10" ht="15.75" customHeight="1">
      <c r="A53" s="44" t="s">
        <v>220</v>
      </c>
      <c r="B53" s="176" t="s">
        <v>64</v>
      </c>
      <c r="C53" s="173">
        <v>8398</v>
      </c>
      <c r="D53" s="173">
        <v>151248</v>
      </c>
      <c r="E53" s="173">
        <v>4336</v>
      </c>
      <c r="F53" s="173">
        <v>11987</v>
      </c>
      <c r="G53" s="173">
        <v>52801</v>
      </c>
      <c r="H53" s="173">
        <v>35072</v>
      </c>
      <c r="I53" s="173">
        <v>122725</v>
      </c>
    </row>
    <row r="54" spans="1:10" ht="15.75" customHeight="1">
      <c r="A54" s="44" t="s">
        <v>221</v>
      </c>
      <c r="B54" s="176" t="s">
        <v>68</v>
      </c>
      <c r="C54" s="173">
        <v>1205</v>
      </c>
      <c r="D54" s="173">
        <v>21397</v>
      </c>
      <c r="E54" s="173">
        <v>571</v>
      </c>
      <c r="F54" s="173">
        <v>1567</v>
      </c>
      <c r="G54" s="173">
        <v>980</v>
      </c>
      <c r="H54" s="173">
        <v>853</v>
      </c>
      <c r="I54" s="173">
        <v>142</v>
      </c>
    </row>
    <row r="55" spans="1:10" ht="15.75" customHeight="1">
      <c r="A55" s="44" t="s">
        <v>222</v>
      </c>
      <c r="B55" s="176" t="s">
        <v>65</v>
      </c>
      <c r="C55" s="173">
        <v>18</v>
      </c>
      <c r="D55" s="173">
        <v>323</v>
      </c>
      <c r="E55" s="173">
        <v>16</v>
      </c>
      <c r="F55" s="173">
        <v>43</v>
      </c>
      <c r="G55" s="173">
        <v>34</v>
      </c>
      <c r="H55" s="173">
        <v>17</v>
      </c>
      <c r="I55" s="173">
        <v>8</v>
      </c>
    </row>
    <row r="56" spans="1:10" ht="15.75" customHeight="1">
      <c r="A56" s="44" t="s">
        <v>223</v>
      </c>
      <c r="B56" s="176" t="s">
        <v>66</v>
      </c>
      <c r="C56" s="173">
        <v>42</v>
      </c>
      <c r="D56" s="173">
        <v>751</v>
      </c>
      <c r="E56" s="173">
        <v>27</v>
      </c>
      <c r="F56" s="173">
        <v>73</v>
      </c>
      <c r="G56" s="173">
        <v>46</v>
      </c>
      <c r="H56" s="173">
        <v>29</v>
      </c>
      <c r="I56" s="173">
        <v>12</v>
      </c>
    </row>
    <row r="57" spans="1:10" ht="15.75" customHeight="1">
      <c r="A57" s="44" t="s">
        <v>224</v>
      </c>
      <c r="B57" s="176" t="s">
        <v>67</v>
      </c>
      <c r="C57" s="173">
        <v>2324</v>
      </c>
      <c r="D57" s="173">
        <v>41247</v>
      </c>
      <c r="E57" s="173">
        <v>1038</v>
      </c>
      <c r="F57" s="173">
        <v>2849</v>
      </c>
      <c r="G57" s="173">
        <v>2449</v>
      </c>
      <c r="H57" s="173">
        <v>2068</v>
      </c>
      <c r="I57" s="173">
        <v>648</v>
      </c>
    </row>
    <row r="58" spans="1:10" ht="15.75" customHeight="1">
      <c r="A58" s="44" t="s">
        <v>225</v>
      </c>
      <c r="B58" s="176" t="s">
        <v>39</v>
      </c>
      <c r="C58" s="173">
        <v>472</v>
      </c>
      <c r="D58" s="173">
        <v>8475</v>
      </c>
      <c r="E58" s="173">
        <v>483</v>
      </c>
      <c r="F58" s="173">
        <v>1332</v>
      </c>
      <c r="G58" s="173">
        <v>1255</v>
      </c>
      <c r="H58" s="173">
        <v>962</v>
      </c>
      <c r="I58" s="173">
        <v>1038</v>
      </c>
    </row>
    <row r="59" spans="1:10" ht="15.75" customHeight="1">
      <c r="A59" s="44" t="s">
        <v>226</v>
      </c>
      <c r="B59" s="176" t="s">
        <v>62</v>
      </c>
      <c r="C59" s="173">
        <v>1655</v>
      </c>
      <c r="D59" s="173">
        <v>29703</v>
      </c>
      <c r="E59" s="177">
        <v>758</v>
      </c>
      <c r="F59" s="177">
        <v>2091</v>
      </c>
      <c r="G59" s="177">
        <v>910</v>
      </c>
      <c r="H59" s="177">
        <v>552</v>
      </c>
      <c r="I59" s="173">
        <v>227</v>
      </c>
    </row>
    <row r="60" spans="1:10" ht="15.75" customHeight="1">
      <c r="A60" s="44" t="s">
        <v>227</v>
      </c>
      <c r="B60" s="176" t="s">
        <v>63</v>
      </c>
      <c r="C60" s="173">
        <v>4347</v>
      </c>
      <c r="D60" s="173">
        <v>78299</v>
      </c>
      <c r="E60" s="173">
        <v>2133</v>
      </c>
      <c r="F60" s="173">
        <v>5896</v>
      </c>
      <c r="G60" s="173">
        <v>6101</v>
      </c>
      <c r="H60" s="173">
        <v>5378</v>
      </c>
      <c r="I60" s="173">
        <v>1982</v>
      </c>
      <c r="J60" s="173">
        <v>5701</v>
      </c>
    </row>
    <row r="61" spans="1:10" ht="15.75" customHeight="1">
      <c r="A61" s="44" t="s">
        <v>228</v>
      </c>
      <c r="B61" s="176" t="s">
        <v>69</v>
      </c>
      <c r="C61" s="173">
        <v>1302</v>
      </c>
      <c r="D61" s="173">
        <v>23450</v>
      </c>
      <c r="E61" s="173">
        <v>820</v>
      </c>
      <c r="F61" s="173">
        <v>2268</v>
      </c>
      <c r="G61" s="173">
        <v>4881</v>
      </c>
      <c r="H61" s="173">
        <v>1520</v>
      </c>
      <c r="I61" s="173">
        <v>8024</v>
      </c>
      <c r="J61" s="173">
        <v>2443</v>
      </c>
    </row>
    <row r="62" spans="1:10" ht="15.75" customHeight="1">
      <c r="A62" s="44" t="s">
        <v>229</v>
      </c>
      <c r="B62" s="176" t="s">
        <v>70</v>
      </c>
      <c r="C62" s="173">
        <v>9458</v>
      </c>
      <c r="D62" s="173">
        <v>169764</v>
      </c>
      <c r="E62" s="173">
        <v>4450</v>
      </c>
      <c r="F62" s="173">
        <v>12281</v>
      </c>
      <c r="G62" s="173">
        <v>22980</v>
      </c>
      <c r="H62" s="173">
        <v>12713</v>
      </c>
      <c r="I62" s="173">
        <v>16049</v>
      </c>
      <c r="J62" s="173">
        <v>14163</v>
      </c>
    </row>
    <row r="63" spans="1:10" ht="15.75" customHeight="1">
      <c r="A63" s="44" t="s">
        <v>230</v>
      </c>
      <c r="B63" s="176" t="s">
        <v>71</v>
      </c>
      <c r="C63" s="173">
        <v>2580</v>
      </c>
      <c r="D63" s="173">
        <v>45802</v>
      </c>
      <c r="E63" s="173">
        <v>1362</v>
      </c>
      <c r="F63" s="173">
        <v>3740</v>
      </c>
      <c r="G63" s="173">
        <v>3551</v>
      </c>
      <c r="H63" s="173">
        <v>3102</v>
      </c>
      <c r="I63" s="173">
        <v>4484</v>
      </c>
      <c r="J63" s="173">
        <v>3558</v>
      </c>
    </row>
    <row r="64" spans="1:10" ht="15.75" customHeight="1">
      <c r="A64" s="44" t="s">
        <v>231</v>
      </c>
      <c r="B64" s="176" t="s">
        <v>72</v>
      </c>
      <c r="C64" s="173">
        <v>990</v>
      </c>
      <c r="D64" s="173">
        <v>17758</v>
      </c>
      <c r="E64" s="173">
        <v>724</v>
      </c>
      <c r="F64" s="173">
        <v>1997</v>
      </c>
      <c r="G64" s="173">
        <v>3081</v>
      </c>
      <c r="H64" s="173">
        <v>1323</v>
      </c>
      <c r="I64" s="173">
        <v>4720</v>
      </c>
      <c r="J64" s="173">
        <v>1671</v>
      </c>
    </row>
    <row r="65" spans="1:10" ht="15.75" customHeight="1">
      <c r="A65" s="44" t="s">
        <v>232</v>
      </c>
      <c r="B65" s="176" t="s">
        <v>73</v>
      </c>
      <c r="C65" s="173">
        <v>5</v>
      </c>
      <c r="D65" s="173">
        <v>97</v>
      </c>
      <c r="E65" s="173">
        <v>6</v>
      </c>
      <c r="F65" s="173">
        <v>17</v>
      </c>
      <c r="G65" s="173">
        <v>11</v>
      </c>
      <c r="H65" s="173">
        <v>5</v>
      </c>
      <c r="I65" s="173">
        <v>3</v>
      </c>
      <c r="J65" s="173">
        <v>8</v>
      </c>
    </row>
    <row r="66" spans="1:10" ht="15.75" customHeight="1">
      <c r="A66" s="44" t="s">
        <v>233</v>
      </c>
      <c r="B66" s="176" t="s">
        <v>74</v>
      </c>
      <c r="C66" s="173">
        <v>803</v>
      </c>
      <c r="D66" s="173">
        <v>14409</v>
      </c>
      <c r="E66" s="173">
        <v>313</v>
      </c>
      <c r="F66" s="173">
        <v>863</v>
      </c>
      <c r="G66" s="173">
        <v>273</v>
      </c>
      <c r="H66" s="173">
        <v>264</v>
      </c>
      <c r="I66" s="173">
        <v>83</v>
      </c>
      <c r="J66" s="173">
        <v>1083</v>
      </c>
    </row>
    <row r="67" spans="1:10" ht="15.75" customHeight="1">
      <c r="A67" s="44" t="s">
        <v>234</v>
      </c>
      <c r="B67" s="176" t="s">
        <v>75</v>
      </c>
      <c r="C67" s="173">
        <v>7790</v>
      </c>
      <c r="D67" s="173">
        <v>140310</v>
      </c>
      <c r="E67" s="173">
        <v>4219</v>
      </c>
      <c r="F67" s="173">
        <v>11663</v>
      </c>
      <c r="G67" s="173">
        <v>15751</v>
      </c>
      <c r="H67" s="173">
        <v>10755</v>
      </c>
      <c r="I67" s="173">
        <v>20769</v>
      </c>
      <c r="J67" s="173">
        <v>8959</v>
      </c>
    </row>
    <row r="68" spans="1:10" ht="15.75" customHeight="1">
      <c r="A68" s="44" t="s">
        <v>235</v>
      </c>
      <c r="B68" s="176" t="s">
        <v>76</v>
      </c>
      <c r="C68" s="173">
        <v>4077</v>
      </c>
      <c r="D68" s="173">
        <v>73170</v>
      </c>
      <c r="E68" s="173">
        <v>1503</v>
      </c>
      <c r="F68" s="173">
        <v>4149</v>
      </c>
      <c r="G68" s="173">
        <v>3527</v>
      </c>
      <c r="H68" s="173">
        <v>2039</v>
      </c>
      <c r="I68" s="173">
        <v>863</v>
      </c>
      <c r="J68" s="173">
        <v>4999</v>
      </c>
    </row>
    <row r="69" spans="1:10" ht="15.75" customHeight="1">
      <c r="A69" s="44" t="s">
        <v>236</v>
      </c>
      <c r="B69" s="176" t="s">
        <v>77</v>
      </c>
      <c r="C69" s="173">
        <v>20495</v>
      </c>
      <c r="D69" s="173">
        <v>367861</v>
      </c>
      <c r="E69" s="173">
        <v>9621</v>
      </c>
      <c r="F69" s="173">
        <v>26553</v>
      </c>
      <c r="G69" s="173">
        <v>60293</v>
      </c>
      <c r="H69" s="173">
        <v>37179</v>
      </c>
      <c r="I69" s="173">
        <v>140662</v>
      </c>
      <c r="J69" s="173">
        <v>29160</v>
      </c>
    </row>
    <row r="70" spans="1:10" ht="15.75" customHeight="1">
      <c r="A70" s="44" t="s">
        <v>237</v>
      </c>
      <c r="B70" s="176" t="s">
        <v>78</v>
      </c>
      <c r="C70" s="173">
        <v>1733</v>
      </c>
      <c r="D70" s="173">
        <v>30674</v>
      </c>
      <c r="E70" s="173">
        <v>1103</v>
      </c>
      <c r="F70" s="173">
        <v>3027</v>
      </c>
      <c r="G70" s="173">
        <v>1959</v>
      </c>
      <c r="H70" s="173">
        <v>1551</v>
      </c>
      <c r="I70" s="173">
        <v>944</v>
      </c>
      <c r="J70" s="173">
        <v>2224</v>
      </c>
    </row>
    <row r="71" spans="1:10" ht="15.75" customHeight="1">
      <c r="A71" s="44" t="s">
        <v>238</v>
      </c>
      <c r="B71" s="176" t="s">
        <v>80</v>
      </c>
      <c r="C71" s="173">
        <v>58</v>
      </c>
      <c r="D71" s="173">
        <v>1049</v>
      </c>
      <c r="E71" s="173">
        <v>54</v>
      </c>
      <c r="F71" s="173">
        <v>150</v>
      </c>
      <c r="G71" s="173">
        <v>91</v>
      </c>
      <c r="H71" s="173">
        <v>131</v>
      </c>
      <c r="I71" s="173">
        <v>34</v>
      </c>
      <c r="J71" s="173">
        <v>251</v>
      </c>
    </row>
    <row r="72" spans="1:10" ht="15.75" customHeight="1">
      <c r="A72" s="44" t="s">
        <v>239</v>
      </c>
      <c r="B72" s="176" t="s">
        <v>79</v>
      </c>
      <c r="C72" s="173">
        <v>2807</v>
      </c>
      <c r="D72" s="173">
        <v>50390</v>
      </c>
      <c r="E72" s="173">
        <v>1118</v>
      </c>
      <c r="F72" s="173">
        <v>3087</v>
      </c>
      <c r="G72" s="173">
        <v>3754</v>
      </c>
      <c r="H72" s="173">
        <v>1535</v>
      </c>
      <c r="I72" s="173">
        <v>944</v>
      </c>
      <c r="J72" s="173">
        <v>3333</v>
      </c>
    </row>
    <row r="73" spans="1:10" ht="15.75" customHeight="1">
      <c r="A73" s="44" t="s">
        <v>240</v>
      </c>
      <c r="B73" s="176" t="s">
        <v>81</v>
      </c>
      <c r="C73" s="173">
        <v>1104</v>
      </c>
      <c r="D73" s="173">
        <v>19592</v>
      </c>
      <c r="E73" s="173">
        <v>739</v>
      </c>
      <c r="F73" s="173">
        <v>2030</v>
      </c>
      <c r="G73" s="173">
        <v>5021</v>
      </c>
      <c r="H73" s="173">
        <v>3515</v>
      </c>
      <c r="I73" s="173">
        <v>11328</v>
      </c>
      <c r="J73" s="173">
        <v>1779</v>
      </c>
    </row>
    <row r="74" spans="1:10" ht="15.75" customHeight="1">
      <c r="A74" s="44" t="s">
        <v>241</v>
      </c>
      <c r="B74" s="176" t="s">
        <v>83</v>
      </c>
      <c r="C74" s="173">
        <v>895</v>
      </c>
      <c r="D74" s="173">
        <v>16063</v>
      </c>
      <c r="E74" s="173">
        <v>410</v>
      </c>
      <c r="F74" s="173">
        <v>1132</v>
      </c>
      <c r="G74" s="173">
        <v>1004</v>
      </c>
      <c r="H74" s="173">
        <v>529</v>
      </c>
      <c r="I74" s="173">
        <v>189</v>
      </c>
      <c r="J74" s="173">
        <v>1253</v>
      </c>
    </row>
    <row r="75" spans="1:10" ht="15.75" customHeight="1">
      <c r="A75" s="44" t="s">
        <v>242</v>
      </c>
      <c r="B75" s="176" t="s">
        <v>82</v>
      </c>
      <c r="C75" s="173">
        <v>1354</v>
      </c>
      <c r="D75" s="173">
        <v>24395</v>
      </c>
      <c r="E75" s="173">
        <v>1055</v>
      </c>
      <c r="F75" s="173">
        <v>2916</v>
      </c>
      <c r="G75" s="173">
        <v>7543</v>
      </c>
      <c r="H75" s="173">
        <v>1169</v>
      </c>
      <c r="I75" s="173">
        <v>11328</v>
      </c>
      <c r="J75" s="173">
        <v>2443</v>
      </c>
    </row>
    <row r="76" spans="1:10" ht="15.75" customHeight="1">
      <c r="A76" s="44" t="s">
        <v>243</v>
      </c>
      <c r="B76" s="176" t="s">
        <v>84</v>
      </c>
      <c r="C76" s="173">
        <v>3505</v>
      </c>
      <c r="D76" s="173">
        <v>62214</v>
      </c>
      <c r="E76" s="173">
        <v>2076</v>
      </c>
      <c r="F76" s="173">
        <v>5698</v>
      </c>
      <c r="G76" s="173">
        <v>3796</v>
      </c>
      <c r="H76" s="173">
        <v>3257</v>
      </c>
      <c r="I76" s="173">
        <v>3304</v>
      </c>
      <c r="J76" s="173">
        <v>4002</v>
      </c>
    </row>
    <row r="77" spans="1:10" ht="15.75" customHeight="1"/>
    <row r="78" spans="1:10" ht="15.75" customHeight="1"/>
    <row r="79" spans="1:10" ht="15.75" customHeight="1"/>
    <row r="80" spans="1:1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6:A17"/>
    <mergeCell ref="A18:A19"/>
    <mergeCell ref="A20:A21"/>
    <mergeCell ref="A22:A23"/>
    <mergeCell ref="A2:A3"/>
    <mergeCell ref="A4:A5"/>
    <mergeCell ref="A6:A7"/>
    <mergeCell ref="A8:A9"/>
    <mergeCell ref="A10:A11"/>
    <mergeCell ref="A12:A13"/>
    <mergeCell ref="A14:A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C1000"/>
  <sheetViews>
    <sheetView workbookViewId="0">
      <pane ySplit="2" topLeftCell="A3" activePane="bottomLeft" state="frozen"/>
      <selection pane="bottomLeft" activeCell="B4" sqref="B4"/>
    </sheetView>
  </sheetViews>
  <sheetFormatPr baseColWidth="10" defaultColWidth="12.6640625" defaultRowHeight="15" customHeight="1"/>
  <cols>
    <col min="1" max="11" width="12.6640625" hidden="1"/>
  </cols>
  <sheetData>
    <row r="1" spans="1:29" ht="15.75" customHeight="1">
      <c r="A1" s="237" t="s">
        <v>286</v>
      </c>
      <c r="B1" s="212"/>
      <c r="C1" s="212"/>
      <c r="D1" s="212"/>
      <c r="E1" s="212"/>
      <c r="F1" s="212"/>
      <c r="G1" s="212"/>
      <c r="H1" s="212"/>
      <c r="I1" s="212"/>
      <c r="J1" s="7"/>
      <c r="K1" s="7"/>
      <c r="L1" s="237" t="s">
        <v>287</v>
      </c>
      <c r="M1" s="212"/>
      <c r="N1" s="212"/>
      <c r="O1" s="212"/>
      <c r="P1" s="212"/>
      <c r="Q1" s="7"/>
      <c r="R1" s="178"/>
      <c r="S1" s="7"/>
      <c r="T1" s="7"/>
      <c r="U1" s="7"/>
      <c r="V1" s="7"/>
      <c r="W1" s="7"/>
      <c r="X1" s="7"/>
      <c r="Y1" s="7"/>
      <c r="Z1" s="7"/>
      <c r="AA1" s="7"/>
      <c r="AB1" s="7"/>
      <c r="AC1" s="7"/>
    </row>
    <row r="2" spans="1:29" ht="38.25" customHeight="1">
      <c r="A2" s="179" t="s">
        <v>31</v>
      </c>
      <c r="B2" s="157" t="s">
        <v>99</v>
      </c>
      <c r="C2" s="157" t="s">
        <v>288</v>
      </c>
      <c r="D2" s="179" t="s">
        <v>289</v>
      </c>
      <c r="E2" s="179" t="s">
        <v>290</v>
      </c>
      <c r="F2" s="179" t="s">
        <v>291</v>
      </c>
      <c r="G2" s="179" t="s">
        <v>292</v>
      </c>
      <c r="H2" s="157" t="s">
        <v>293</v>
      </c>
      <c r="I2" s="179" t="s">
        <v>294</v>
      </c>
      <c r="J2" s="7"/>
      <c r="K2" s="7"/>
      <c r="L2" s="180" t="s">
        <v>31</v>
      </c>
      <c r="M2" s="180" t="s">
        <v>289</v>
      </c>
      <c r="N2" s="180" t="s">
        <v>290</v>
      </c>
      <c r="O2" s="180" t="s">
        <v>292</v>
      </c>
      <c r="P2" s="181" t="s">
        <v>288</v>
      </c>
      <c r="Q2" s="7"/>
      <c r="R2" s="7"/>
      <c r="S2" s="7"/>
      <c r="T2" s="7"/>
      <c r="U2" s="7"/>
      <c r="V2" s="7"/>
      <c r="W2" s="7"/>
      <c r="X2" s="7"/>
      <c r="Y2" s="7"/>
      <c r="Z2" s="7"/>
      <c r="AA2" s="7"/>
      <c r="AB2" s="7"/>
      <c r="AC2" s="7"/>
    </row>
    <row r="3" spans="1:29" ht="15.75" customHeight="1">
      <c r="A3" s="134" t="s">
        <v>192</v>
      </c>
      <c r="B3" s="162" t="s">
        <v>40</v>
      </c>
      <c r="C3" s="182"/>
      <c r="D3" s="182"/>
      <c r="E3" s="182"/>
      <c r="F3" s="182"/>
      <c r="G3" s="182"/>
      <c r="H3" s="182"/>
      <c r="I3" s="182"/>
      <c r="J3" s="7">
        <f t="shared" ref="J3:J52" si="0">SUM(C3:I3)</f>
        <v>0</v>
      </c>
      <c r="K3" s="7"/>
      <c r="L3" s="134" t="s">
        <v>192</v>
      </c>
      <c r="M3" s="7">
        <v>17</v>
      </c>
      <c r="N3" s="7">
        <v>38</v>
      </c>
      <c r="O3" s="7">
        <v>0</v>
      </c>
      <c r="P3" s="7">
        <v>45</v>
      </c>
      <c r="Q3" s="7"/>
      <c r="R3" s="7"/>
      <c r="S3" s="7"/>
      <c r="T3" s="7"/>
      <c r="U3" s="7"/>
      <c r="V3" s="7"/>
      <c r="W3" s="7"/>
      <c r="X3" s="7"/>
      <c r="Y3" s="7"/>
      <c r="Z3" s="7"/>
      <c r="AA3" s="7"/>
      <c r="AB3" s="7"/>
      <c r="AC3" s="7"/>
    </row>
    <row r="4" spans="1:29" ht="15.75" customHeight="1">
      <c r="A4" s="134" t="s">
        <v>193</v>
      </c>
      <c r="B4" s="162" t="s">
        <v>194</v>
      </c>
      <c r="C4" s="134"/>
      <c r="D4" s="134"/>
      <c r="E4" s="134"/>
      <c r="F4" s="134"/>
      <c r="G4" s="134"/>
      <c r="H4" s="134"/>
      <c r="I4" s="134"/>
      <c r="J4" s="7">
        <f t="shared" si="0"/>
        <v>0</v>
      </c>
      <c r="K4" s="7"/>
      <c r="L4" s="134" t="s">
        <v>193</v>
      </c>
      <c r="M4" s="7">
        <v>6</v>
      </c>
      <c r="N4" s="7">
        <v>90</v>
      </c>
      <c r="O4" s="7">
        <v>1</v>
      </c>
      <c r="P4" s="7">
        <v>4</v>
      </c>
      <c r="Q4" s="7"/>
      <c r="R4" s="7"/>
      <c r="S4" s="7"/>
      <c r="T4" s="7"/>
      <c r="U4" s="7"/>
      <c r="V4" s="7"/>
      <c r="W4" s="7"/>
      <c r="X4" s="7"/>
      <c r="Y4" s="7"/>
      <c r="Z4" s="7"/>
      <c r="AA4" s="7"/>
      <c r="AB4" s="7"/>
      <c r="AC4" s="7"/>
    </row>
    <row r="5" spans="1:29" ht="15.75" customHeight="1">
      <c r="A5" s="134" t="s">
        <v>195</v>
      </c>
      <c r="B5" s="162" t="s">
        <v>42</v>
      </c>
      <c r="C5" s="134"/>
      <c r="D5" s="134"/>
      <c r="E5" s="134"/>
      <c r="F5" s="134"/>
      <c r="G5" s="134"/>
      <c r="H5" s="134"/>
      <c r="I5" s="134"/>
      <c r="J5" s="7">
        <f t="shared" si="0"/>
        <v>0</v>
      </c>
      <c r="K5" s="7"/>
      <c r="L5" s="134" t="s">
        <v>195</v>
      </c>
      <c r="M5" s="7">
        <v>10</v>
      </c>
      <c r="N5" s="7">
        <v>90</v>
      </c>
      <c r="O5" s="7">
        <v>0</v>
      </c>
      <c r="P5" s="7">
        <v>0</v>
      </c>
      <c r="Q5" s="7"/>
      <c r="R5" s="7"/>
      <c r="S5" s="7"/>
      <c r="T5" s="7"/>
      <c r="U5" s="7"/>
      <c r="V5" s="7"/>
      <c r="W5" s="7"/>
      <c r="X5" s="7"/>
      <c r="Y5" s="7"/>
      <c r="Z5" s="7"/>
      <c r="AA5" s="7"/>
      <c r="AB5" s="7"/>
      <c r="AC5" s="7"/>
    </row>
    <row r="6" spans="1:29" ht="15.75" customHeight="1">
      <c r="A6" s="134" t="s">
        <v>196</v>
      </c>
      <c r="B6" s="162" t="s">
        <v>41</v>
      </c>
      <c r="C6" s="134"/>
      <c r="D6" s="134"/>
      <c r="E6" s="134"/>
      <c r="F6" s="134"/>
      <c r="G6" s="134"/>
      <c r="H6" s="134"/>
      <c r="I6" s="134"/>
      <c r="J6" s="7">
        <f t="shared" si="0"/>
        <v>0</v>
      </c>
      <c r="K6" s="7"/>
      <c r="L6" s="134" t="s">
        <v>196</v>
      </c>
      <c r="M6" s="7">
        <v>15</v>
      </c>
      <c r="N6" s="7">
        <v>28</v>
      </c>
      <c r="O6" s="7">
        <v>0</v>
      </c>
      <c r="P6" s="7">
        <v>57</v>
      </c>
      <c r="Q6" s="7"/>
      <c r="R6" s="7"/>
      <c r="S6" s="7"/>
      <c r="T6" s="7"/>
      <c r="U6" s="7"/>
      <c r="V6" s="7"/>
      <c r="W6" s="7"/>
      <c r="X6" s="7"/>
      <c r="Y6" s="7"/>
      <c r="Z6" s="7"/>
      <c r="AA6" s="7"/>
      <c r="AB6" s="7"/>
      <c r="AC6" s="7"/>
    </row>
    <row r="7" spans="1:29" ht="15.75" customHeight="1">
      <c r="A7" s="134" t="s">
        <v>197</v>
      </c>
      <c r="B7" s="162" t="s">
        <v>37</v>
      </c>
      <c r="C7" s="134"/>
      <c r="D7" s="134"/>
      <c r="E7" s="134"/>
      <c r="F7" s="134"/>
      <c r="G7" s="134"/>
      <c r="H7" s="134"/>
      <c r="I7" s="134"/>
      <c r="J7" s="7">
        <f t="shared" si="0"/>
        <v>0</v>
      </c>
      <c r="K7" s="7"/>
      <c r="L7" s="134" t="s">
        <v>197</v>
      </c>
      <c r="M7" s="7">
        <v>11</v>
      </c>
      <c r="N7" s="7">
        <v>88</v>
      </c>
      <c r="O7" s="7">
        <v>1</v>
      </c>
      <c r="P7" s="7">
        <v>1</v>
      </c>
      <c r="Q7" s="7"/>
      <c r="R7" s="7"/>
      <c r="S7" s="7"/>
      <c r="T7" s="7"/>
      <c r="U7" s="7"/>
      <c r="V7" s="7"/>
      <c r="W7" s="7"/>
      <c r="X7" s="7"/>
      <c r="Y7" s="7"/>
      <c r="Z7" s="7"/>
      <c r="AA7" s="7"/>
      <c r="AB7" s="7"/>
      <c r="AC7" s="7"/>
    </row>
    <row r="8" spans="1:29" ht="15.75" customHeight="1">
      <c r="A8" s="134" t="s">
        <v>198</v>
      </c>
      <c r="B8" s="162" t="s">
        <v>43</v>
      </c>
      <c r="C8" s="134"/>
      <c r="D8" s="134"/>
      <c r="E8" s="134"/>
      <c r="F8" s="134"/>
      <c r="G8" s="134"/>
      <c r="H8" s="134"/>
      <c r="I8" s="134"/>
      <c r="J8" s="7">
        <f t="shared" si="0"/>
        <v>0</v>
      </c>
      <c r="K8" s="7"/>
      <c r="L8" s="134" t="s">
        <v>198</v>
      </c>
      <c r="M8" s="7">
        <v>1</v>
      </c>
      <c r="N8" s="7">
        <v>98</v>
      </c>
      <c r="O8" s="7">
        <v>0</v>
      </c>
      <c r="P8" s="7">
        <v>1</v>
      </c>
      <c r="Q8" s="7"/>
      <c r="R8" s="7"/>
      <c r="S8" s="7"/>
      <c r="T8" s="7"/>
      <c r="U8" s="7"/>
      <c r="V8" s="7"/>
      <c r="W8" s="7"/>
      <c r="X8" s="7"/>
      <c r="Y8" s="7"/>
      <c r="Z8" s="7"/>
      <c r="AA8" s="7"/>
      <c r="AB8" s="7"/>
      <c r="AC8" s="7"/>
    </row>
    <row r="9" spans="1:29" ht="15.75" customHeight="1">
      <c r="A9" s="134" t="s">
        <v>199</v>
      </c>
      <c r="B9" s="162" t="s">
        <v>44</v>
      </c>
      <c r="C9" s="134"/>
      <c r="D9" s="134"/>
      <c r="E9" s="134"/>
      <c r="F9" s="134"/>
      <c r="G9" s="134"/>
      <c r="H9" s="134"/>
      <c r="I9" s="134"/>
      <c r="J9" s="7">
        <f t="shared" si="0"/>
        <v>0</v>
      </c>
      <c r="K9" s="7"/>
      <c r="L9" s="134" t="s">
        <v>199</v>
      </c>
      <c r="M9" s="7">
        <v>43</v>
      </c>
      <c r="N9" s="7">
        <v>51</v>
      </c>
      <c r="O9" s="7">
        <v>0</v>
      </c>
      <c r="P9" s="7">
        <v>6</v>
      </c>
      <c r="Q9" s="7"/>
      <c r="R9" s="7"/>
      <c r="S9" s="7"/>
      <c r="T9" s="7"/>
      <c r="U9" s="7"/>
      <c r="V9" s="7"/>
      <c r="W9" s="7"/>
      <c r="X9" s="7"/>
      <c r="Y9" s="7"/>
      <c r="Z9" s="7"/>
      <c r="AA9" s="7"/>
      <c r="AB9" s="7"/>
      <c r="AC9" s="7"/>
    </row>
    <row r="10" spans="1:29" ht="15.75" customHeight="1">
      <c r="A10" s="134" t="s">
        <v>200</v>
      </c>
      <c r="B10" s="162" t="s">
        <v>45</v>
      </c>
      <c r="C10" s="134"/>
      <c r="D10" s="134"/>
      <c r="E10" s="134"/>
      <c r="F10" s="134"/>
      <c r="G10" s="134"/>
      <c r="H10" s="134"/>
      <c r="I10" s="134"/>
      <c r="J10" s="7">
        <f t="shared" si="0"/>
        <v>0</v>
      </c>
      <c r="K10" s="7"/>
      <c r="L10" s="134" t="s">
        <v>200</v>
      </c>
      <c r="M10" s="7">
        <v>44</v>
      </c>
      <c r="N10" s="7">
        <v>50</v>
      </c>
      <c r="O10" s="7">
        <v>0</v>
      </c>
      <c r="P10" s="7">
        <v>6</v>
      </c>
      <c r="Q10" s="7"/>
      <c r="R10" s="7"/>
      <c r="S10" s="7"/>
      <c r="T10" s="7"/>
      <c r="U10" s="7"/>
      <c r="V10" s="7"/>
      <c r="W10" s="7"/>
      <c r="X10" s="7"/>
      <c r="Y10" s="7"/>
      <c r="Z10" s="7"/>
      <c r="AA10" s="7"/>
      <c r="AB10" s="7"/>
      <c r="AC10" s="7"/>
    </row>
    <row r="11" spans="1:29" ht="15.75" customHeight="1">
      <c r="A11" s="134" t="s">
        <v>201</v>
      </c>
      <c r="B11" s="162" t="s">
        <v>46</v>
      </c>
      <c r="C11" s="134"/>
      <c r="D11" s="134"/>
      <c r="E11" s="134"/>
      <c r="F11" s="134"/>
      <c r="G11" s="134"/>
      <c r="H11" s="134"/>
      <c r="I11" s="134"/>
      <c r="J11" s="7">
        <f t="shared" si="0"/>
        <v>0</v>
      </c>
      <c r="K11" s="7"/>
      <c r="L11" s="134" t="s">
        <v>201</v>
      </c>
      <c r="M11" s="7">
        <v>22</v>
      </c>
      <c r="N11" s="7">
        <v>61</v>
      </c>
      <c r="O11" s="7">
        <v>1</v>
      </c>
      <c r="P11" s="7">
        <v>17</v>
      </c>
      <c r="Q11" s="7"/>
      <c r="R11" s="7"/>
      <c r="S11" s="7"/>
      <c r="T11" s="7"/>
      <c r="U11" s="7"/>
      <c r="V11" s="7"/>
      <c r="W11" s="7"/>
      <c r="X11" s="7"/>
      <c r="Y11" s="7"/>
      <c r="Z11" s="7"/>
      <c r="AA11" s="7"/>
      <c r="AB11" s="7"/>
      <c r="AC11" s="7"/>
    </row>
    <row r="12" spans="1:29" ht="15.75" customHeight="1">
      <c r="A12" s="134" t="s">
        <v>202</v>
      </c>
      <c r="B12" s="162" t="s">
        <v>47</v>
      </c>
      <c r="C12" s="134"/>
      <c r="D12" s="134"/>
      <c r="E12" s="134"/>
      <c r="F12" s="134"/>
      <c r="G12" s="134"/>
      <c r="H12" s="134"/>
      <c r="I12" s="134"/>
      <c r="J12" s="7">
        <f t="shared" si="0"/>
        <v>0</v>
      </c>
      <c r="K12" s="7"/>
      <c r="L12" s="134" t="s">
        <v>202</v>
      </c>
      <c r="M12" s="7">
        <v>18</v>
      </c>
      <c r="N12" s="7">
        <v>42</v>
      </c>
      <c r="O12" s="7">
        <v>0</v>
      </c>
      <c r="P12" s="7">
        <v>40</v>
      </c>
      <c r="Q12" s="7"/>
      <c r="R12" s="7"/>
      <c r="S12" s="7"/>
      <c r="T12" s="7"/>
      <c r="U12" s="7"/>
      <c r="V12" s="7"/>
      <c r="W12" s="7"/>
      <c r="X12" s="7"/>
      <c r="Y12" s="7"/>
      <c r="Z12" s="7"/>
      <c r="AA12" s="7"/>
      <c r="AB12" s="7"/>
      <c r="AC12" s="7"/>
    </row>
    <row r="13" spans="1:29" ht="15.75" customHeight="1">
      <c r="A13" s="134" t="s">
        <v>203</v>
      </c>
      <c r="B13" s="162" t="s">
        <v>204</v>
      </c>
      <c r="C13" s="134"/>
      <c r="D13" s="134"/>
      <c r="E13" s="134"/>
      <c r="F13" s="134"/>
      <c r="G13" s="134"/>
      <c r="H13" s="134"/>
      <c r="I13" s="134"/>
      <c r="J13" s="7">
        <f t="shared" si="0"/>
        <v>0</v>
      </c>
      <c r="K13" s="7"/>
      <c r="L13" s="134" t="s">
        <v>203</v>
      </c>
      <c r="M13" s="7">
        <v>0</v>
      </c>
      <c r="N13" s="7">
        <v>99</v>
      </c>
      <c r="O13" s="7">
        <v>1</v>
      </c>
      <c r="P13" s="7">
        <v>1</v>
      </c>
      <c r="Q13" s="7"/>
      <c r="R13" s="7"/>
      <c r="S13" s="7"/>
      <c r="T13" s="7"/>
      <c r="U13" s="7"/>
      <c r="V13" s="7"/>
      <c r="W13" s="7"/>
      <c r="X13" s="7"/>
      <c r="Y13" s="7"/>
      <c r="Z13" s="7"/>
      <c r="AA13" s="7"/>
      <c r="AB13" s="7"/>
      <c r="AC13" s="7"/>
    </row>
    <row r="14" spans="1:29" ht="15.75" customHeight="1">
      <c r="A14" s="134" t="s">
        <v>205</v>
      </c>
      <c r="B14" s="162" t="s">
        <v>49</v>
      </c>
      <c r="C14" s="134"/>
      <c r="D14" s="134"/>
      <c r="E14" s="134"/>
      <c r="F14" s="134"/>
      <c r="G14" s="134"/>
      <c r="H14" s="134"/>
      <c r="I14" s="134"/>
      <c r="J14" s="7">
        <f t="shared" si="0"/>
        <v>0</v>
      </c>
      <c r="K14" s="7"/>
      <c r="L14" s="134" t="s">
        <v>205</v>
      </c>
      <c r="M14" s="7">
        <v>1</v>
      </c>
      <c r="N14" s="7">
        <v>99</v>
      </c>
      <c r="O14" s="7">
        <v>0</v>
      </c>
      <c r="P14" s="7">
        <v>0</v>
      </c>
      <c r="Q14" s="7"/>
      <c r="R14" s="7"/>
      <c r="S14" s="7"/>
      <c r="T14" s="7"/>
      <c r="U14" s="7"/>
      <c r="V14" s="7"/>
      <c r="W14" s="7"/>
      <c r="X14" s="7"/>
      <c r="Y14" s="7"/>
      <c r="Z14" s="7"/>
      <c r="AA14" s="7"/>
      <c r="AB14" s="7"/>
      <c r="AC14" s="7"/>
    </row>
    <row r="15" spans="1:29" ht="15.75" customHeight="1">
      <c r="A15" s="134" t="s">
        <v>206</v>
      </c>
      <c r="B15" s="162" t="s">
        <v>50</v>
      </c>
      <c r="C15" s="134"/>
      <c r="D15" s="134"/>
      <c r="E15" s="134"/>
      <c r="F15" s="134"/>
      <c r="G15" s="134"/>
      <c r="H15" s="134"/>
      <c r="I15" s="134"/>
      <c r="J15" s="7">
        <f t="shared" si="0"/>
        <v>0</v>
      </c>
      <c r="K15" s="7"/>
      <c r="L15" s="134" t="s">
        <v>206</v>
      </c>
      <c r="M15" s="7">
        <v>8</v>
      </c>
      <c r="N15" s="7">
        <v>87</v>
      </c>
      <c r="O15" s="7">
        <v>0</v>
      </c>
      <c r="P15" s="7">
        <v>5</v>
      </c>
      <c r="Q15" s="7"/>
      <c r="R15" s="7"/>
      <c r="S15" s="7"/>
      <c r="T15" s="7"/>
      <c r="U15" s="7"/>
      <c r="V15" s="7"/>
      <c r="W15" s="7"/>
      <c r="X15" s="7"/>
      <c r="Y15" s="7"/>
      <c r="Z15" s="7"/>
      <c r="AA15" s="7"/>
      <c r="AB15" s="7"/>
      <c r="AC15" s="7"/>
    </row>
    <row r="16" spans="1:29" ht="15.75" customHeight="1">
      <c r="A16" s="134" t="s">
        <v>207</v>
      </c>
      <c r="B16" s="162" t="s">
        <v>51</v>
      </c>
      <c r="C16" s="134"/>
      <c r="D16" s="134"/>
      <c r="E16" s="134"/>
      <c r="F16" s="134"/>
      <c r="G16" s="134"/>
      <c r="H16" s="134"/>
      <c r="I16" s="134"/>
      <c r="J16" s="7">
        <f t="shared" si="0"/>
        <v>0</v>
      </c>
      <c r="K16" s="7"/>
      <c r="L16" s="134" t="s">
        <v>207</v>
      </c>
      <c r="M16" s="7">
        <v>13</v>
      </c>
      <c r="N16" s="7">
        <v>79</v>
      </c>
      <c r="O16" s="7">
        <v>0</v>
      </c>
      <c r="P16" s="7">
        <v>8</v>
      </c>
      <c r="Q16" s="7"/>
      <c r="R16" s="7"/>
      <c r="S16" s="7"/>
      <c r="T16" s="7"/>
      <c r="U16" s="7"/>
      <c r="V16" s="7"/>
      <c r="W16" s="7"/>
      <c r="X16" s="7"/>
      <c r="Y16" s="7"/>
      <c r="Z16" s="7"/>
      <c r="AA16" s="7"/>
      <c r="AB16" s="7"/>
      <c r="AC16" s="7"/>
    </row>
    <row r="17" spans="1:29" ht="15.75" customHeight="1">
      <c r="A17" s="134" t="s">
        <v>208</v>
      </c>
      <c r="B17" s="162" t="s">
        <v>48</v>
      </c>
      <c r="C17" s="134"/>
      <c r="D17" s="134"/>
      <c r="E17" s="134"/>
      <c r="F17" s="134"/>
      <c r="G17" s="134"/>
      <c r="H17" s="134"/>
      <c r="I17" s="134"/>
      <c r="J17" s="7">
        <f t="shared" si="0"/>
        <v>0</v>
      </c>
      <c r="K17" s="7"/>
      <c r="L17" s="134" t="s">
        <v>208</v>
      </c>
      <c r="M17" s="7">
        <v>10</v>
      </c>
      <c r="N17" s="7">
        <v>83</v>
      </c>
      <c r="O17" s="7">
        <v>0</v>
      </c>
      <c r="P17" s="7">
        <v>6</v>
      </c>
      <c r="Q17" s="7"/>
      <c r="R17" s="7"/>
      <c r="S17" s="7"/>
      <c r="T17" s="7"/>
      <c r="U17" s="7"/>
      <c r="V17" s="7"/>
      <c r="W17" s="7"/>
      <c r="X17" s="7"/>
      <c r="Y17" s="7"/>
      <c r="Z17" s="7"/>
      <c r="AA17" s="7"/>
      <c r="AB17" s="7"/>
      <c r="AC17" s="7"/>
    </row>
    <row r="18" spans="1:29" ht="15.75" customHeight="1">
      <c r="A18" s="134" t="s">
        <v>209</v>
      </c>
      <c r="B18" s="162" t="s">
        <v>52</v>
      </c>
      <c r="C18" s="134"/>
      <c r="D18" s="134"/>
      <c r="E18" s="134"/>
      <c r="F18" s="134"/>
      <c r="G18" s="134"/>
      <c r="H18" s="134"/>
      <c r="I18" s="134"/>
      <c r="J18" s="7">
        <f t="shared" si="0"/>
        <v>0</v>
      </c>
      <c r="K18" s="7"/>
      <c r="L18" s="134" t="s">
        <v>209</v>
      </c>
      <c r="M18" s="7">
        <v>5</v>
      </c>
      <c r="N18" s="7">
        <v>92</v>
      </c>
      <c r="O18" s="7">
        <v>0</v>
      </c>
      <c r="P18" s="7">
        <v>3</v>
      </c>
      <c r="Q18" s="7"/>
      <c r="R18" s="7"/>
      <c r="S18" s="7"/>
      <c r="T18" s="7"/>
      <c r="U18" s="7"/>
      <c r="V18" s="7"/>
      <c r="W18" s="7"/>
      <c r="X18" s="7"/>
      <c r="Y18" s="7"/>
      <c r="Z18" s="7"/>
      <c r="AA18" s="7"/>
      <c r="AB18" s="7"/>
      <c r="AC18" s="7"/>
    </row>
    <row r="19" spans="1:29" ht="15.75" customHeight="1">
      <c r="A19" s="134" t="s">
        <v>210</v>
      </c>
      <c r="B19" s="162" t="s">
        <v>53</v>
      </c>
      <c r="C19" s="134"/>
      <c r="D19" s="134"/>
      <c r="E19" s="134"/>
      <c r="F19" s="134"/>
      <c r="G19" s="134"/>
      <c r="H19" s="134"/>
      <c r="I19" s="134"/>
      <c r="J19" s="7">
        <f t="shared" si="0"/>
        <v>0</v>
      </c>
      <c r="K19" s="7"/>
      <c r="L19" s="134" t="s">
        <v>210</v>
      </c>
      <c r="M19" s="7">
        <v>14</v>
      </c>
      <c r="N19" s="7">
        <v>24</v>
      </c>
      <c r="O19" s="7">
        <v>0</v>
      </c>
      <c r="P19" s="7">
        <v>61</v>
      </c>
      <c r="Q19" s="7"/>
      <c r="R19" s="7"/>
      <c r="S19" s="7"/>
      <c r="T19" s="7"/>
      <c r="U19" s="7"/>
      <c r="V19" s="7"/>
      <c r="W19" s="7"/>
      <c r="X19" s="7"/>
      <c r="Y19" s="7"/>
      <c r="Z19" s="7"/>
      <c r="AA19" s="7"/>
      <c r="AB19" s="7"/>
      <c r="AC19" s="7"/>
    </row>
    <row r="20" spans="1:29" ht="15.75" customHeight="1">
      <c r="A20" s="134" t="s">
        <v>211</v>
      </c>
      <c r="B20" s="162" t="s">
        <v>54</v>
      </c>
      <c r="C20" s="134"/>
      <c r="D20" s="134"/>
      <c r="E20" s="134"/>
      <c r="F20" s="134"/>
      <c r="G20" s="134"/>
      <c r="H20" s="134"/>
      <c r="I20" s="134"/>
      <c r="J20" s="7">
        <f t="shared" si="0"/>
        <v>0</v>
      </c>
      <c r="K20" s="7"/>
      <c r="L20" s="134" t="s">
        <v>211</v>
      </c>
      <c r="M20" s="7">
        <v>14</v>
      </c>
      <c r="N20" s="7">
        <v>26</v>
      </c>
      <c r="O20" s="7">
        <v>0</v>
      </c>
      <c r="P20" s="7">
        <v>60</v>
      </c>
      <c r="Q20" s="7"/>
      <c r="R20" s="7"/>
      <c r="S20" s="7"/>
      <c r="T20" s="7"/>
      <c r="U20" s="7"/>
      <c r="V20" s="7"/>
      <c r="W20" s="7"/>
      <c r="X20" s="7"/>
      <c r="Y20" s="7"/>
      <c r="Z20" s="7"/>
      <c r="AA20" s="7"/>
      <c r="AB20" s="7"/>
      <c r="AC20" s="7"/>
    </row>
    <row r="21" spans="1:29" ht="15.75" customHeight="1">
      <c r="A21" s="134" t="s">
        <v>212</v>
      </c>
      <c r="B21" s="162" t="s">
        <v>57</v>
      </c>
      <c r="C21" s="134"/>
      <c r="D21" s="134"/>
      <c r="E21" s="134"/>
      <c r="F21" s="134"/>
      <c r="G21" s="134"/>
      <c r="H21" s="134"/>
      <c r="I21" s="134"/>
      <c r="J21" s="7">
        <f t="shared" si="0"/>
        <v>0</v>
      </c>
      <c r="K21" s="7"/>
      <c r="L21" s="134" t="s">
        <v>212</v>
      </c>
      <c r="M21" s="7">
        <v>45</v>
      </c>
      <c r="N21" s="7">
        <v>48</v>
      </c>
      <c r="O21" s="7">
        <v>0</v>
      </c>
      <c r="P21" s="7">
        <v>7</v>
      </c>
      <c r="Q21" s="7"/>
      <c r="R21" s="7"/>
      <c r="S21" s="7"/>
      <c r="T21" s="7"/>
      <c r="U21" s="7"/>
      <c r="V21" s="7"/>
      <c r="W21" s="7"/>
      <c r="X21" s="7"/>
      <c r="Y21" s="7"/>
      <c r="Z21" s="7"/>
      <c r="AA21" s="7"/>
      <c r="AB21" s="7"/>
      <c r="AC21" s="7"/>
    </row>
    <row r="22" spans="1:29" ht="15.75" customHeight="1">
      <c r="A22" s="134" t="s">
        <v>213</v>
      </c>
      <c r="B22" s="162" t="s">
        <v>56</v>
      </c>
      <c r="C22" s="134"/>
      <c r="D22" s="134"/>
      <c r="E22" s="134"/>
      <c r="F22" s="134"/>
      <c r="G22" s="134"/>
      <c r="H22" s="134"/>
      <c r="I22" s="134"/>
      <c r="J22" s="7">
        <f t="shared" si="0"/>
        <v>0</v>
      </c>
      <c r="K22" s="7"/>
      <c r="L22" s="134" t="s">
        <v>213</v>
      </c>
      <c r="M22" s="7">
        <v>44</v>
      </c>
      <c r="N22" s="7">
        <v>49</v>
      </c>
      <c r="O22" s="7">
        <v>0</v>
      </c>
      <c r="P22" s="7">
        <v>7</v>
      </c>
      <c r="Q22" s="7"/>
      <c r="R22" s="7"/>
      <c r="S22" s="7"/>
      <c r="T22" s="7"/>
      <c r="U22" s="7"/>
      <c r="V22" s="7"/>
      <c r="W22" s="7"/>
      <c r="X22" s="7"/>
      <c r="Y22" s="7"/>
      <c r="Z22" s="7"/>
      <c r="AA22" s="7"/>
      <c r="AB22" s="7"/>
      <c r="AC22" s="7"/>
    </row>
    <row r="23" spans="1:29" ht="15.75" customHeight="1">
      <c r="A23" s="134" t="s">
        <v>214</v>
      </c>
      <c r="B23" s="162" t="s">
        <v>55</v>
      </c>
      <c r="C23" s="134"/>
      <c r="D23" s="134"/>
      <c r="E23" s="134"/>
      <c r="F23" s="134"/>
      <c r="G23" s="134"/>
      <c r="H23" s="134"/>
      <c r="I23" s="134"/>
      <c r="J23" s="7">
        <f t="shared" si="0"/>
        <v>0</v>
      </c>
      <c r="K23" s="7"/>
      <c r="L23" s="134" t="s">
        <v>214</v>
      </c>
      <c r="M23" s="7">
        <v>45</v>
      </c>
      <c r="N23" s="7">
        <v>47</v>
      </c>
      <c r="O23" s="7">
        <v>0</v>
      </c>
      <c r="P23" s="7">
        <v>7</v>
      </c>
      <c r="Q23" s="7"/>
      <c r="R23" s="7"/>
      <c r="S23" s="7"/>
      <c r="T23" s="7"/>
      <c r="U23" s="7"/>
      <c r="V23" s="7"/>
      <c r="W23" s="7"/>
      <c r="X23" s="7"/>
      <c r="Y23" s="7"/>
      <c r="Z23" s="7"/>
      <c r="AA23" s="7"/>
      <c r="AB23" s="7"/>
      <c r="AC23" s="7"/>
    </row>
    <row r="24" spans="1:29" ht="15.75" customHeight="1">
      <c r="A24" s="134" t="s">
        <v>215</v>
      </c>
      <c r="B24" s="162" t="s">
        <v>58</v>
      </c>
      <c r="C24" s="134"/>
      <c r="D24" s="134"/>
      <c r="E24" s="134"/>
      <c r="F24" s="134"/>
      <c r="G24" s="134"/>
      <c r="H24" s="134"/>
      <c r="I24" s="134"/>
      <c r="J24" s="7">
        <f t="shared" si="0"/>
        <v>0</v>
      </c>
      <c r="K24" s="7"/>
      <c r="L24" s="134" t="s">
        <v>215</v>
      </c>
      <c r="M24" s="7">
        <v>6</v>
      </c>
      <c r="N24" s="7">
        <v>91</v>
      </c>
      <c r="O24" s="7">
        <v>0</v>
      </c>
      <c r="P24" s="7">
        <v>3</v>
      </c>
      <c r="Q24" s="7"/>
      <c r="R24" s="7"/>
      <c r="S24" s="7"/>
      <c r="T24" s="7"/>
      <c r="U24" s="7"/>
      <c r="V24" s="7"/>
      <c r="W24" s="7"/>
      <c r="X24" s="7"/>
      <c r="Y24" s="7"/>
      <c r="Z24" s="7"/>
      <c r="AA24" s="7"/>
      <c r="AB24" s="7"/>
      <c r="AC24" s="7"/>
    </row>
    <row r="25" spans="1:29" ht="15.75" customHeight="1">
      <c r="A25" s="134" t="s">
        <v>216</v>
      </c>
      <c r="B25" s="162" t="s">
        <v>38</v>
      </c>
      <c r="C25" s="134"/>
      <c r="D25" s="134"/>
      <c r="E25" s="134"/>
      <c r="F25" s="134"/>
      <c r="G25" s="134"/>
      <c r="H25" s="134"/>
      <c r="I25" s="134"/>
      <c r="J25" s="7">
        <f t="shared" si="0"/>
        <v>0</v>
      </c>
      <c r="K25" s="7"/>
      <c r="L25" s="134" t="s">
        <v>216</v>
      </c>
      <c r="M25" s="7">
        <v>10</v>
      </c>
      <c r="N25" s="7">
        <v>84</v>
      </c>
      <c r="O25" s="7">
        <v>0</v>
      </c>
      <c r="P25" s="7">
        <v>6</v>
      </c>
      <c r="Q25" s="7"/>
      <c r="R25" s="7"/>
      <c r="S25" s="7"/>
      <c r="T25" s="7"/>
      <c r="U25" s="7"/>
      <c r="V25" s="7"/>
      <c r="W25" s="7"/>
      <c r="X25" s="7"/>
      <c r="Y25" s="7"/>
      <c r="Z25" s="7"/>
      <c r="AA25" s="7"/>
      <c r="AB25" s="7"/>
      <c r="AC25" s="7"/>
    </row>
    <row r="26" spans="1:29" ht="15.75" customHeight="1">
      <c r="A26" s="134" t="s">
        <v>217</v>
      </c>
      <c r="B26" s="162" t="s">
        <v>60</v>
      </c>
      <c r="C26" s="134"/>
      <c r="D26" s="134"/>
      <c r="E26" s="134"/>
      <c r="F26" s="134"/>
      <c r="G26" s="134"/>
      <c r="H26" s="134"/>
      <c r="I26" s="134"/>
      <c r="J26" s="7">
        <f t="shared" si="0"/>
        <v>0</v>
      </c>
      <c r="K26" s="7"/>
      <c r="L26" s="134" t="s">
        <v>217</v>
      </c>
      <c r="M26" s="7">
        <v>15</v>
      </c>
      <c r="N26" s="7">
        <v>28</v>
      </c>
      <c r="O26" s="7">
        <v>0</v>
      </c>
      <c r="P26" s="7">
        <v>57</v>
      </c>
      <c r="Q26" s="7"/>
      <c r="R26" s="7"/>
      <c r="S26" s="7"/>
      <c r="T26" s="7"/>
      <c r="U26" s="7"/>
      <c r="V26" s="7"/>
      <c r="W26" s="7"/>
      <c r="X26" s="7"/>
      <c r="Y26" s="7"/>
      <c r="Z26" s="7"/>
      <c r="AA26" s="7"/>
      <c r="AB26" s="7"/>
      <c r="AC26" s="7"/>
    </row>
    <row r="27" spans="1:29" ht="15.75" customHeight="1">
      <c r="A27" s="134" t="s">
        <v>218</v>
      </c>
      <c r="B27" s="162" t="s">
        <v>59</v>
      </c>
      <c r="C27" s="134"/>
      <c r="D27" s="134"/>
      <c r="E27" s="134"/>
      <c r="F27" s="134"/>
      <c r="G27" s="134"/>
      <c r="H27" s="134"/>
      <c r="I27" s="134"/>
      <c r="J27" s="7">
        <f t="shared" si="0"/>
        <v>0</v>
      </c>
      <c r="K27" s="7"/>
      <c r="L27" s="134" t="s">
        <v>218</v>
      </c>
      <c r="M27" s="7">
        <v>14</v>
      </c>
      <c r="N27" s="7">
        <v>77</v>
      </c>
      <c r="O27" s="7">
        <v>0</v>
      </c>
      <c r="P27" s="7">
        <v>8</v>
      </c>
      <c r="Q27" s="7"/>
      <c r="R27" s="7"/>
      <c r="S27" s="7"/>
      <c r="T27" s="7"/>
      <c r="U27" s="7"/>
      <c r="V27" s="7"/>
      <c r="W27" s="7"/>
      <c r="X27" s="7"/>
      <c r="Y27" s="7"/>
      <c r="Z27" s="7"/>
      <c r="AA27" s="7"/>
      <c r="AB27" s="7"/>
      <c r="AC27" s="7"/>
    </row>
    <row r="28" spans="1:29" ht="15.75" customHeight="1">
      <c r="A28" s="134" t="s">
        <v>219</v>
      </c>
      <c r="B28" s="162" t="s">
        <v>61</v>
      </c>
      <c r="C28" s="134"/>
      <c r="D28" s="134"/>
      <c r="E28" s="134"/>
      <c r="F28" s="134"/>
      <c r="G28" s="134"/>
      <c r="H28" s="134"/>
      <c r="I28" s="134"/>
      <c r="J28" s="7">
        <f t="shared" si="0"/>
        <v>0</v>
      </c>
      <c r="K28" s="7"/>
      <c r="L28" s="134" t="s">
        <v>219</v>
      </c>
      <c r="M28" s="7">
        <v>4</v>
      </c>
      <c r="N28" s="7">
        <v>93</v>
      </c>
      <c r="O28" s="7">
        <v>0</v>
      </c>
      <c r="P28" s="7">
        <v>3</v>
      </c>
      <c r="Q28" s="7"/>
      <c r="R28" s="7"/>
      <c r="S28" s="7"/>
      <c r="T28" s="7"/>
      <c r="U28" s="7"/>
      <c r="V28" s="7"/>
      <c r="W28" s="7"/>
      <c r="X28" s="7"/>
      <c r="Y28" s="7"/>
      <c r="Z28" s="7"/>
      <c r="AA28" s="7"/>
      <c r="AB28" s="7"/>
      <c r="AC28" s="7"/>
    </row>
    <row r="29" spans="1:29" ht="15.75" customHeight="1">
      <c r="A29" s="134" t="s">
        <v>220</v>
      </c>
      <c r="B29" s="162" t="s">
        <v>64</v>
      </c>
      <c r="C29" s="134"/>
      <c r="D29" s="134"/>
      <c r="E29" s="134"/>
      <c r="F29" s="134"/>
      <c r="G29" s="134"/>
      <c r="H29" s="134"/>
      <c r="I29" s="134"/>
      <c r="J29" s="7">
        <f t="shared" si="0"/>
        <v>0</v>
      </c>
      <c r="K29" s="7"/>
      <c r="L29" s="134" t="s">
        <v>220</v>
      </c>
      <c r="M29" s="7">
        <v>6</v>
      </c>
      <c r="N29" s="7">
        <v>90</v>
      </c>
      <c r="O29" s="7">
        <v>0</v>
      </c>
      <c r="P29" s="7">
        <v>4</v>
      </c>
      <c r="Q29" s="7"/>
      <c r="R29" s="7"/>
      <c r="S29" s="7"/>
      <c r="T29" s="7"/>
      <c r="U29" s="7"/>
      <c r="V29" s="7"/>
      <c r="W29" s="7"/>
      <c r="X29" s="7"/>
      <c r="Y29" s="7"/>
      <c r="Z29" s="7"/>
      <c r="AA29" s="7"/>
      <c r="AB29" s="7"/>
      <c r="AC29" s="7"/>
    </row>
    <row r="30" spans="1:29" ht="15.75" customHeight="1">
      <c r="A30" s="134" t="s">
        <v>221</v>
      </c>
      <c r="B30" s="162" t="s">
        <v>68</v>
      </c>
      <c r="C30" s="134"/>
      <c r="D30" s="134"/>
      <c r="E30" s="134"/>
      <c r="F30" s="134"/>
      <c r="G30" s="134"/>
      <c r="H30" s="134"/>
      <c r="I30" s="134"/>
      <c r="J30" s="7">
        <f t="shared" si="0"/>
        <v>0</v>
      </c>
      <c r="K30" s="7"/>
      <c r="L30" s="134" t="s">
        <v>221</v>
      </c>
      <c r="M30" s="7">
        <v>0</v>
      </c>
      <c r="N30" s="7">
        <v>99</v>
      </c>
      <c r="O30" s="7">
        <v>0</v>
      </c>
      <c r="P30" s="7">
        <v>0</v>
      </c>
      <c r="Q30" s="7"/>
      <c r="R30" s="7"/>
      <c r="S30" s="7"/>
      <c r="T30" s="7"/>
      <c r="U30" s="7"/>
      <c r="V30" s="7"/>
      <c r="W30" s="7"/>
      <c r="X30" s="7"/>
      <c r="Y30" s="7"/>
      <c r="Z30" s="7"/>
      <c r="AA30" s="7"/>
      <c r="AB30" s="7"/>
      <c r="AC30" s="7"/>
    </row>
    <row r="31" spans="1:29" ht="15.75" customHeight="1">
      <c r="A31" s="134" t="s">
        <v>222</v>
      </c>
      <c r="B31" s="162" t="s">
        <v>65</v>
      </c>
      <c r="C31" s="134"/>
      <c r="D31" s="134"/>
      <c r="E31" s="134"/>
      <c r="F31" s="134"/>
      <c r="G31" s="134"/>
      <c r="H31" s="134"/>
      <c r="I31" s="134"/>
      <c r="J31" s="7">
        <f t="shared" si="0"/>
        <v>0</v>
      </c>
      <c r="K31" s="7"/>
      <c r="L31" s="134" t="s">
        <v>222</v>
      </c>
      <c r="M31" s="7">
        <v>44</v>
      </c>
      <c r="N31" s="7">
        <v>49</v>
      </c>
      <c r="O31" s="7">
        <v>0</v>
      </c>
      <c r="P31" s="7">
        <v>7</v>
      </c>
      <c r="Q31" s="7"/>
      <c r="R31" s="7"/>
      <c r="S31" s="7"/>
      <c r="T31" s="7"/>
      <c r="U31" s="7"/>
      <c r="V31" s="7"/>
      <c r="W31" s="7"/>
      <c r="X31" s="7"/>
      <c r="Y31" s="7"/>
      <c r="Z31" s="7"/>
      <c r="AA31" s="7"/>
      <c r="AB31" s="7"/>
      <c r="AC31" s="7"/>
    </row>
    <row r="32" spans="1:29" ht="15.75" customHeight="1">
      <c r="A32" s="134" t="s">
        <v>223</v>
      </c>
      <c r="B32" s="162" t="s">
        <v>66</v>
      </c>
      <c r="C32" s="134"/>
      <c r="D32" s="134"/>
      <c r="E32" s="134"/>
      <c r="F32" s="134"/>
      <c r="G32" s="134"/>
      <c r="H32" s="134"/>
      <c r="I32" s="134"/>
      <c r="J32" s="7">
        <f t="shared" si="0"/>
        <v>0</v>
      </c>
      <c r="K32" s="7"/>
      <c r="L32" s="134" t="s">
        <v>223</v>
      </c>
      <c r="M32" s="7">
        <v>45</v>
      </c>
      <c r="N32" s="7">
        <v>47</v>
      </c>
      <c r="O32" s="7">
        <v>0</v>
      </c>
      <c r="P32" s="7">
        <v>8</v>
      </c>
      <c r="Q32" s="7"/>
      <c r="R32" s="7"/>
      <c r="S32" s="7"/>
      <c r="T32" s="7"/>
      <c r="U32" s="7"/>
      <c r="V32" s="7"/>
      <c r="W32" s="7"/>
      <c r="X32" s="7"/>
      <c r="Y32" s="7"/>
      <c r="Z32" s="7"/>
      <c r="AA32" s="7"/>
      <c r="AB32" s="7"/>
      <c r="AC32" s="7"/>
    </row>
    <row r="33" spans="1:29" ht="15.75" customHeight="1">
      <c r="A33" s="134" t="s">
        <v>224</v>
      </c>
      <c r="B33" s="162" t="s">
        <v>67</v>
      </c>
      <c r="C33" s="134"/>
      <c r="D33" s="134"/>
      <c r="E33" s="134"/>
      <c r="F33" s="134"/>
      <c r="G33" s="134"/>
      <c r="H33" s="134"/>
      <c r="I33" s="134"/>
      <c r="J33" s="7">
        <f t="shared" si="0"/>
        <v>0</v>
      </c>
      <c r="K33" s="7"/>
      <c r="L33" s="134" t="s">
        <v>224</v>
      </c>
      <c r="M33" s="7">
        <v>10</v>
      </c>
      <c r="N33" s="7">
        <v>90</v>
      </c>
      <c r="O33" s="7">
        <v>0</v>
      </c>
      <c r="P33" s="7">
        <v>0</v>
      </c>
      <c r="Q33" s="7"/>
      <c r="R33" s="7"/>
      <c r="S33" s="7"/>
      <c r="T33" s="7"/>
      <c r="U33" s="7"/>
      <c r="V33" s="7"/>
      <c r="W33" s="7"/>
      <c r="X33" s="7"/>
      <c r="Y33" s="7"/>
      <c r="Z33" s="7"/>
      <c r="AA33" s="7"/>
      <c r="AB33" s="7"/>
      <c r="AC33" s="7"/>
    </row>
    <row r="34" spans="1:29" ht="15.75" customHeight="1">
      <c r="A34" s="134" t="s">
        <v>225</v>
      </c>
      <c r="B34" s="162" t="s">
        <v>39</v>
      </c>
      <c r="C34" s="134"/>
      <c r="D34" s="134"/>
      <c r="E34" s="134"/>
      <c r="F34" s="134"/>
      <c r="G34" s="134"/>
      <c r="H34" s="134"/>
      <c r="I34" s="134"/>
      <c r="J34" s="7">
        <f t="shared" si="0"/>
        <v>0</v>
      </c>
      <c r="K34" s="7"/>
      <c r="L34" s="134" t="s">
        <v>225</v>
      </c>
      <c r="M34" s="7">
        <v>45</v>
      </c>
      <c r="N34" s="7">
        <v>48</v>
      </c>
      <c r="O34" s="7">
        <v>0</v>
      </c>
      <c r="P34" s="7">
        <v>7</v>
      </c>
      <c r="Q34" s="7"/>
      <c r="R34" s="7"/>
      <c r="S34" s="7"/>
      <c r="T34" s="7"/>
      <c r="U34" s="7"/>
      <c r="V34" s="7"/>
      <c r="W34" s="7"/>
      <c r="X34" s="7"/>
      <c r="Y34" s="7"/>
      <c r="Z34" s="7"/>
      <c r="AA34" s="7"/>
      <c r="AB34" s="7"/>
      <c r="AC34" s="7"/>
    </row>
    <row r="35" spans="1:29" ht="15.75" customHeight="1">
      <c r="A35" s="134" t="s">
        <v>226</v>
      </c>
      <c r="B35" s="162" t="s">
        <v>62</v>
      </c>
      <c r="C35" s="134"/>
      <c r="D35" s="134"/>
      <c r="E35" s="134"/>
      <c r="F35" s="134"/>
      <c r="G35" s="134"/>
      <c r="H35" s="134"/>
      <c r="I35" s="134"/>
      <c r="J35" s="7">
        <f t="shared" si="0"/>
        <v>0</v>
      </c>
      <c r="K35" s="7"/>
      <c r="L35" s="134" t="s">
        <v>226</v>
      </c>
      <c r="M35" s="7">
        <v>15</v>
      </c>
      <c r="N35" s="7">
        <v>31</v>
      </c>
      <c r="O35" s="7">
        <v>0</v>
      </c>
      <c r="P35" s="7">
        <v>54</v>
      </c>
      <c r="Q35" s="7"/>
      <c r="R35" s="7"/>
      <c r="S35" s="7"/>
      <c r="T35" s="7"/>
      <c r="U35" s="7"/>
      <c r="V35" s="7"/>
      <c r="W35" s="7"/>
      <c r="X35" s="7"/>
      <c r="Y35" s="7"/>
      <c r="Z35" s="7"/>
      <c r="AA35" s="7"/>
      <c r="AB35" s="7"/>
      <c r="AC35" s="7"/>
    </row>
    <row r="36" spans="1:29" ht="15.75" customHeight="1">
      <c r="A36" s="134" t="s">
        <v>227</v>
      </c>
      <c r="B36" s="162" t="s">
        <v>63</v>
      </c>
      <c r="C36" s="134"/>
      <c r="D36" s="134"/>
      <c r="E36" s="134"/>
      <c r="F36" s="134"/>
      <c r="G36" s="134"/>
      <c r="H36" s="134"/>
      <c r="I36" s="134"/>
      <c r="J36" s="7">
        <f t="shared" si="0"/>
        <v>0</v>
      </c>
      <c r="K36" s="7"/>
      <c r="L36" s="134" t="s">
        <v>227</v>
      </c>
      <c r="M36" s="7">
        <v>11</v>
      </c>
      <c r="N36" s="7">
        <v>83</v>
      </c>
      <c r="O36" s="7">
        <v>0</v>
      </c>
      <c r="P36" s="7">
        <v>6</v>
      </c>
      <c r="Q36" s="7"/>
      <c r="R36" s="7"/>
      <c r="S36" s="7"/>
      <c r="T36" s="7"/>
      <c r="U36" s="7"/>
      <c r="V36" s="7"/>
      <c r="W36" s="7"/>
      <c r="X36" s="7"/>
      <c r="Y36" s="7"/>
      <c r="Z36" s="7"/>
      <c r="AA36" s="7"/>
      <c r="AB36" s="7"/>
      <c r="AC36" s="7"/>
    </row>
    <row r="37" spans="1:29" ht="15.75" customHeight="1">
      <c r="A37" s="134" t="s">
        <v>228</v>
      </c>
      <c r="B37" s="162" t="s">
        <v>69</v>
      </c>
      <c r="C37" s="134"/>
      <c r="D37" s="134"/>
      <c r="E37" s="134"/>
      <c r="F37" s="134"/>
      <c r="G37" s="134"/>
      <c r="H37" s="134"/>
      <c r="I37" s="134"/>
      <c r="J37" s="7">
        <f t="shared" si="0"/>
        <v>0</v>
      </c>
      <c r="K37" s="7"/>
      <c r="L37" s="134" t="s">
        <v>228</v>
      </c>
      <c r="M37" s="7">
        <v>14</v>
      </c>
      <c r="N37" s="7">
        <v>78</v>
      </c>
      <c r="O37" s="7">
        <v>0</v>
      </c>
      <c r="P37" s="7">
        <v>8</v>
      </c>
      <c r="Q37" s="7"/>
      <c r="R37" s="7"/>
      <c r="S37" s="7"/>
      <c r="T37" s="7"/>
      <c r="U37" s="7"/>
      <c r="V37" s="7"/>
      <c r="W37" s="7"/>
      <c r="X37" s="7"/>
      <c r="Y37" s="7"/>
      <c r="Z37" s="7"/>
      <c r="AA37" s="7"/>
      <c r="AB37" s="7"/>
      <c r="AC37" s="7"/>
    </row>
    <row r="38" spans="1:29" ht="15.75" customHeight="1">
      <c r="A38" s="134" t="s">
        <v>229</v>
      </c>
      <c r="B38" s="162" t="s">
        <v>70</v>
      </c>
      <c r="C38" s="134"/>
      <c r="D38" s="134"/>
      <c r="E38" s="134"/>
      <c r="F38" s="134"/>
      <c r="G38" s="134"/>
      <c r="H38" s="134"/>
      <c r="I38" s="134"/>
      <c r="J38" s="7">
        <f t="shared" si="0"/>
        <v>0</v>
      </c>
      <c r="K38" s="7"/>
      <c r="L38" s="134" t="s">
        <v>229</v>
      </c>
      <c r="M38" s="7">
        <v>6</v>
      </c>
      <c r="N38" s="7">
        <v>94</v>
      </c>
      <c r="O38" s="7">
        <v>0</v>
      </c>
      <c r="P38" s="7">
        <v>0</v>
      </c>
      <c r="Q38" s="7"/>
      <c r="R38" s="7"/>
      <c r="S38" s="7"/>
      <c r="T38" s="7"/>
      <c r="U38" s="7"/>
      <c r="V38" s="7"/>
      <c r="W38" s="7"/>
      <c r="X38" s="7"/>
      <c r="Y38" s="7"/>
      <c r="Z38" s="7"/>
      <c r="AA38" s="7"/>
      <c r="AB38" s="7"/>
      <c r="AC38" s="7"/>
    </row>
    <row r="39" spans="1:29" ht="15.75" customHeight="1">
      <c r="A39" s="134" t="s">
        <v>230</v>
      </c>
      <c r="B39" s="162" t="s">
        <v>71</v>
      </c>
      <c r="C39" s="134"/>
      <c r="D39" s="134"/>
      <c r="E39" s="134"/>
      <c r="F39" s="134"/>
      <c r="G39" s="134"/>
      <c r="H39" s="134"/>
      <c r="I39" s="134"/>
      <c r="J39" s="7">
        <f t="shared" si="0"/>
        <v>0</v>
      </c>
      <c r="K39" s="7"/>
      <c r="L39" s="134" t="s">
        <v>230</v>
      </c>
      <c r="M39" s="7">
        <v>0</v>
      </c>
      <c r="N39" s="7">
        <v>80</v>
      </c>
      <c r="O39" s="7">
        <v>1</v>
      </c>
      <c r="P39" s="7">
        <v>20</v>
      </c>
      <c r="Q39" s="7"/>
      <c r="R39" s="7"/>
      <c r="S39" s="7"/>
      <c r="T39" s="7"/>
      <c r="U39" s="7"/>
      <c r="V39" s="7"/>
      <c r="W39" s="7"/>
      <c r="X39" s="7"/>
      <c r="Y39" s="7"/>
      <c r="Z39" s="7"/>
      <c r="AA39" s="7"/>
      <c r="AB39" s="7"/>
      <c r="AC39" s="7"/>
    </row>
    <row r="40" spans="1:29" ht="15.75" customHeight="1">
      <c r="A40" s="134" t="s">
        <v>231</v>
      </c>
      <c r="B40" s="162" t="s">
        <v>72</v>
      </c>
      <c r="C40" s="134"/>
      <c r="D40" s="134"/>
      <c r="E40" s="134"/>
      <c r="F40" s="134"/>
      <c r="G40" s="134"/>
      <c r="H40" s="134"/>
      <c r="I40" s="134"/>
      <c r="J40" s="7">
        <f t="shared" si="0"/>
        <v>0</v>
      </c>
      <c r="K40" s="7"/>
      <c r="L40" s="134" t="s">
        <v>231</v>
      </c>
      <c r="M40" s="7">
        <v>47</v>
      </c>
      <c r="N40" s="7">
        <v>44</v>
      </c>
      <c r="O40" s="7">
        <v>0</v>
      </c>
      <c r="P40" s="7">
        <v>9</v>
      </c>
      <c r="Q40" s="7"/>
      <c r="R40" s="7"/>
      <c r="S40" s="7"/>
      <c r="T40" s="7"/>
      <c r="U40" s="7"/>
      <c r="V40" s="7"/>
      <c r="W40" s="7"/>
      <c r="X40" s="7"/>
      <c r="Y40" s="7"/>
      <c r="Z40" s="7"/>
      <c r="AA40" s="7"/>
      <c r="AB40" s="7"/>
      <c r="AC40" s="7"/>
    </row>
    <row r="41" spans="1:29" ht="15.75" customHeight="1">
      <c r="A41" s="134" t="s">
        <v>232</v>
      </c>
      <c r="B41" s="162" t="s">
        <v>73</v>
      </c>
      <c r="C41" s="134"/>
      <c r="D41" s="134"/>
      <c r="E41" s="134"/>
      <c r="F41" s="134"/>
      <c r="G41" s="134"/>
      <c r="H41" s="134"/>
      <c r="I41" s="134"/>
      <c r="J41" s="7">
        <f t="shared" si="0"/>
        <v>0</v>
      </c>
      <c r="K41" s="7"/>
      <c r="L41" s="134" t="s">
        <v>232</v>
      </c>
      <c r="M41" s="7">
        <v>47</v>
      </c>
      <c r="N41" s="7">
        <v>44</v>
      </c>
      <c r="O41" s="7">
        <v>0</v>
      </c>
      <c r="P41" s="7">
        <v>9</v>
      </c>
      <c r="Q41" s="7"/>
      <c r="R41" s="7"/>
      <c r="S41" s="7"/>
      <c r="T41" s="7"/>
      <c r="U41" s="7"/>
      <c r="V41" s="7"/>
      <c r="W41" s="7"/>
      <c r="X41" s="7"/>
      <c r="Y41" s="7"/>
      <c r="Z41" s="7"/>
      <c r="AA41" s="7"/>
      <c r="AB41" s="7"/>
      <c r="AC41" s="7"/>
    </row>
    <row r="42" spans="1:29" ht="15.75" customHeight="1">
      <c r="A42" s="134" t="s">
        <v>233</v>
      </c>
      <c r="B42" s="162" t="s">
        <v>74</v>
      </c>
      <c r="C42" s="134"/>
      <c r="D42" s="134"/>
      <c r="E42" s="134"/>
      <c r="F42" s="134"/>
      <c r="G42" s="134"/>
      <c r="H42" s="134"/>
      <c r="I42" s="134"/>
      <c r="J42" s="7">
        <f t="shared" si="0"/>
        <v>0</v>
      </c>
      <c r="K42" s="7"/>
      <c r="L42" s="134" t="s">
        <v>233</v>
      </c>
      <c r="M42" s="7">
        <v>15</v>
      </c>
      <c r="N42" s="7">
        <v>31</v>
      </c>
      <c r="O42" s="7">
        <v>0</v>
      </c>
      <c r="P42" s="7">
        <v>54</v>
      </c>
      <c r="Q42" s="7"/>
      <c r="R42" s="7"/>
      <c r="S42" s="7"/>
      <c r="T42" s="7"/>
      <c r="U42" s="7"/>
      <c r="V42" s="7"/>
      <c r="W42" s="7"/>
      <c r="X42" s="7"/>
      <c r="Y42" s="7"/>
      <c r="Z42" s="7"/>
      <c r="AA42" s="7"/>
      <c r="AB42" s="7"/>
      <c r="AC42" s="7"/>
    </row>
    <row r="43" spans="1:29" ht="15.75" customHeight="1">
      <c r="A43" s="134" t="s">
        <v>234</v>
      </c>
      <c r="B43" s="162" t="s">
        <v>75</v>
      </c>
      <c r="C43" s="134"/>
      <c r="D43" s="134"/>
      <c r="E43" s="134"/>
      <c r="F43" s="134"/>
      <c r="G43" s="134"/>
      <c r="H43" s="134"/>
      <c r="I43" s="134"/>
      <c r="J43" s="7">
        <f t="shared" si="0"/>
        <v>0</v>
      </c>
      <c r="K43" s="7"/>
      <c r="L43" s="134" t="s">
        <v>234</v>
      </c>
      <c r="M43" s="7">
        <v>8</v>
      </c>
      <c r="N43" s="7">
        <v>87</v>
      </c>
      <c r="O43" s="7">
        <v>0</v>
      </c>
      <c r="P43" s="7">
        <v>5</v>
      </c>
      <c r="Q43" s="7"/>
      <c r="R43" s="7"/>
      <c r="S43" s="7"/>
      <c r="T43" s="7"/>
      <c r="U43" s="7"/>
      <c r="V43" s="7"/>
      <c r="W43" s="7"/>
      <c r="X43" s="7"/>
      <c r="Y43" s="7"/>
      <c r="Z43" s="7"/>
      <c r="AA43" s="7"/>
      <c r="AB43" s="7"/>
      <c r="AC43" s="7"/>
    </row>
    <row r="44" spans="1:29" ht="15.75" customHeight="1">
      <c r="A44" s="134" t="s">
        <v>235</v>
      </c>
      <c r="B44" s="162" t="s">
        <v>76</v>
      </c>
      <c r="C44" s="134"/>
      <c r="D44" s="134"/>
      <c r="E44" s="134"/>
      <c r="F44" s="134"/>
      <c r="G44" s="134"/>
      <c r="H44" s="134"/>
      <c r="I44" s="134"/>
      <c r="J44" s="7">
        <f t="shared" si="0"/>
        <v>0</v>
      </c>
      <c r="K44" s="7"/>
      <c r="L44" s="134" t="s">
        <v>235</v>
      </c>
      <c r="M44" s="7">
        <v>15</v>
      </c>
      <c r="N44" s="7">
        <v>26</v>
      </c>
      <c r="O44" s="7">
        <v>0</v>
      </c>
      <c r="P44" s="7">
        <v>59</v>
      </c>
      <c r="Q44" s="7"/>
      <c r="R44" s="7"/>
      <c r="S44" s="7"/>
      <c r="T44" s="7"/>
      <c r="U44" s="7"/>
      <c r="V44" s="7"/>
      <c r="W44" s="7"/>
      <c r="X44" s="7"/>
      <c r="Y44" s="7"/>
      <c r="Z44" s="7"/>
      <c r="AA44" s="7"/>
      <c r="AB44" s="7"/>
      <c r="AC44" s="7"/>
    </row>
    <row r="45" spans="1:29" ht="15.75" customHeight="1">
      <c r="A45" s="134" t="s">
        <v>236</v>
      </c>
      <c r="B45" s="162" t="s">
        <v>77</v>
      </c>
      <c r="C45" s="134"/>
      <c r="D45" s="134"/>
      <c r="E45" s="134"/>
      <c r="F45" s="134"/>
      <c r="G45" s="134"/>
      <c r="H45" s="134"/>
      <c r="I45" s="134"/>
      <c r="J45" s="7">
        <f t="shared" si="0"/>
        <v>0</v>
      </c>
      <c r="K45" s="7"/>
      <c r="L45" s="134" t="s">
        <v>236</v>
      </c>
      <c r="M45" s="7">
        <v>8</v>
      </c>
      <c r="N45" s="7">
        <v>92</v>
      </c>
      <c r="O45" s="7">
        <v>0</v>
      </c>
      <c r="P45" s="7">
        <v>0</v>
      </c>
      <c r="Q45" s="7"/>
      <c r="R45" s="7"/>
      <c r="S45" s="7"/>
      <c r="T45" s="7"/>
      <c r="U45" s="7"/>
      <c r="V45" s="7"/>
      <c r="W45" s="7"/>
      <c r="X45" s="7"/>
      <c r="Y45" s="7"/>
      <c r="Z45" s="7"/>
      <c r="AA45" s="7"/>
      <c r="AB45" s="7"/>
      <c r="AC45" s="7"/>
    </row>
    <row r="46" spans="1:29" ht="15.75" customHeight="1">
      <c r="A46" s="134" t="s">
        <v>237</v>
      </c>
      <c r="B46" s="162" t="s">
        <v>78</v>
      </c>
      <c r="C46" s="134"/>
      <c r="D46" s="134"/>
      <c r="E46" s="134"/>
      <c r="F46" s="134"/>
      <c r="G46" s="134"/>
      <c r="H46" s="134"/>
      <c r="I46" s="134"/>
      <c r="J46" s="7">
        <f t="shared" si="0"/>
        <v>0</v>
      </c>
      <c r="K46" s="7"/>
      <c r="L46" s="134" t="s">
        <v>237</v>
      </c>
      <c r="M46" s="7">
        <v>1</v>
      </c>
      <c r="N46" s="7">
        <v>98</v>
      </c>
      <c r="O46" s="7">
        <v>0</v>
      </c>
      <c r="P46" s="7">
        <v>1</v>
      </c>
      <c r="Q46" s="7"/>
      <c r="R46" s="7"/>
      <c r="S46" s="7"/>
      <c r="T46" s="7"/>
      <c r="U46" s="7"/>
      <c r="V46" s="7"/>
      <c r="W46" s="7"/>
      <c r="X46" s="7"/>
      <c r="Y46" s="7"/>
      <c r="Z46" s="7"/>
      <c r="AA46" s="7"/>
      <c r="AB46" s="7"/>
      <c r="AC46" s="7"/>
    </row>
    <row r="47" spans="1:29" ht="15.75" customHeight="1">
      <c r="A47" s="134" t="s">
        <v>238</v>
      </c>
      <c r="B47" s="162" t="s">
        <v>80</v>
      </c>
      <c r="C47" s="134"/>
      <c r="D47" s="134"/>
      <c r="E47" s="134"/>
      <c r="F47" s="134"/>
      <c r="G47" s="134"/>
      <c r="H47" s="134"/>
      <c r="I47" s="134"/>
      <c r="J47" s="7">
        <f t="shared" si="0"/>
        <v>0</v>
      </c>
      <c r="K47" s="7"/>
      <c r="L47" s="134" t="s">
        <v>238</v>
      </c>
      <c r="M47" s="7">
        <v>44</v>
      </c>
      <c r="N47" s="7">
        <v>49</v>
      </c>
      <c r="O47" s="7">
        <v>0</v>
      </c>
      <c r="P47" s="7">
        <v>7</v>
      </c>
      <c r="Q47" s="7"/>
      <c r="R47" s="7"/>
      <c r="S47" s="7"/>
      <c r="T47" s="7"/>
      <c r="U47" s="7"/>
      <c r="V47" s="7"/>
      <c r="W47" s="7"/>
      <c r="X47" s="7"/>
      <c r="Y47" s="7"/>
      <c r="Z47" s="7"/>
      <c r="AA47" s="7"/>
      <c r="AB47" s="7"/>
      <c r="AC47" s="7"/>
    </row>
    <row r="48" spans="1:29" ht="15.75" customHeight="1">
      <c r="A48" s="134" t="s">
        <v>239</v>
      </c>
      <c r="B48" s="162" t="s">
        <v>79</v>
      </c>
      <c r="C48" s="134"/>
      <c r="D48" s="134"/>
      <c r="E48" s="134"/>
      <c r="F48" s="134"/>
      <c r="G48" s="134"/>
      <c r="H48" s="134"/>
      <c r="I48" s="134"/>
      <c r="J48" s="7">
        <f t="shared" si="0"/>
        <v>0</v>
      </c>
      <c r="K48" s="7"/>
      <c r="L48" s="134" t="s">
        <v>239</v>
      </c>
      <c r="M48" s="7">
        <v>15</v>
      </c>
      <c r="N48" s="7">
        <v>28</v>
      </c>
      <c r="O48" s="7">
        <v>0</v>
      </c>
      <c r="P48" s="7">
        <v>57</v>
      </c>
      <c r="Q48" s="7"/>
      <c r="R48" s="7"/>
      <c r="S48" s="7"/>
      <c r="T48" s="7"/>
      <c r="U48" s="7"/>
      <c r="V48" s="7"/>
      <c r="W48" s="7"/>
      <c r="X48" s="7"/>
      <c r="Y48" s="7"/>
      <c r="Z48" s="7"/>
      <c r="AA48" s="7"/>
      <c r="AB48" s="7"/>
      <c r="AC48" s="7"/>
    </row>
    <row r="49" spans="1:29" ht="15.75" customHeight="1">
      <c r="A49" s="134" t="s">
        <v>240</v>
      </c>
      <c r="B49" s="162" t="s">
        <v>81</v>
      </c>
      <c r="C49" s="134"/>
      <c r="D49" s="134"/>
      <c r="E49" s="134"/>
      <c r="F49" s="134"/>
      <c r="G49" s="134"/>
      <c r="H49" s="134"/>
      <c r="I49" s="134"/>
      <c r="J49" s="7">
        <f t="shared" si="0"/>
        <v>0</v>
      </c>
      <c r="K49" s="7"/>
      <c r="L49" s="134" t="s">
        <v>240</v>
      </c>
      <c r="M49" s="7">
        <v>0</v>
      </c>
      <c r="N49" s="7">
        <v>83</v>
      </c>
      <c r="O49" s="7">
        <v>1</v>
      </c>
      <c r="P49" s="7">
        <v>17</v>
      </c>
      <c r="Q49" s="7"/>
      <c r="R49" s="7"/>
      <c r="S49" s="7"/>
      <c r="T49" s="7"/>
      <c r="U49" s="7"/>
      <c r="V49" s="7"/>
      <c r="W49" s="7"/>
      <c r="X49" s="7"/>
      <c r="Y49" s="7"/>
      <c r="Z49" s="7"/>
      <c r="AA49" s="7"/>
      <c r="AB49" s="7"/>
      <c r="AC49" s="7"/>
    </row>
    <row r="50" spans="1:29" ht="15.75" customHeight="1">
      <c r="A50" s="134" t="s">
        <v>241</v>
      </c>
      <c r="B50" s="162" t="s">
        <v>83</v>
      </c>
      <c r="C50" s="134"/>
      <c r="D50" s="134"/>
      <c r="E50" s="134"/>
      <c r="F50" s="134"/>
      <c r="G50" s="134"/>
      <c r="H50" s="134"/>
      <c r="I50" s="134"/>
      <c r="J50" s="7">
        <f t="shared" si="0"/>
        <v>0</v>
      </c>
      <c r="K50" s="7"/>
      <c r="L50" s="134" t="s">
        <v>241</v>
      </c>
      <c r="M50" s="7">
        <v>45</v>
      </c>
      <c r="N50" s="7">
        <v>48</v>
      </c>
      <c r="O50" s="7">
        <v>0</v>
      </c>
      <c r="P50" s="7">
        <v>7</v>
      </c>
      <c r="Q50" s="7"/>
      <c r="R50" s="7"/>
      <c r="S50" s="7"/>
      <c r="T50" s="7"/>
      <c r="U50" s="7"/>
      <c r="V50" s="7"/>
      <c r="W50" s="7"/>
      <c r="X50" s="7"/>
      <c r="Y50" s="7"/>
      <c r="Z50" s="7"/>
      <c r="AA50" s="7"/>
      <c r="AB50" s="7"/>
      <c r="AC50" s="7"/>
    </row>
    <row r="51" spans="1:29" ht="15.75" customHeight="1">
      <c r="A51" s="134" t="s">
        <v>242</v>
      </c>
      <c r="B51" s="162" t="s">
        <v>82</v>
      </c>
      <c r="C51" s="134"/>
      <c r="D51" s="134"/>
      <c r="E51" s="134"/>
      <c r="F51" s="134"/>
      <c r="G51" s="134"/>
      <c r="H51" s="134"/>
      <c r="I51" s="134"/>
      <c r="J51" s="7">
        <f t="shared" si="0"/>
        <v>0</v>
      </c>
      <c r="K51" s="7"/>
      <c r="L51" s="134" t="s">
        <v>242</v>
      </c>
      <c r="M51" s="7">
        <v>12</v>
      </c>
      <c r="N51" s="7">
        <v>82</v>
      </c>
      <c r="O51" s="7">
        <v>0</v>
      </c>
      <c r="P51" s="7">
        <v>7</v>
      </c>
      <c r="Q51" s="7"/>
      <c r="R51" s="7"/>
      <c r="S51" s="7"/>
      <c r="T51" s="7"/>
      <c r="U51" s="7"/>
      <c r="V51" s="7"/>
      <c r="W51" s="7"/>
      <c r="X51" s="7"/>
      <c r="Y51" s="7"/>
      <c r="Z51" s="7"/>
      <c r="AA51" s="7"/>
      <c r="AB51" s="7"/>
      <c r="AC51" s="7"/>
    </row>
    <row r="52" spans="1:29" ht="15.75" customHeight="1">
      <c r="A52" s="134" t="s">
        <v>243</v>
      </c>
      <c r="B52" s="162" t="s">
        <v>84</v>
      </c>
      <c r="C52" s="134"/>
      <c r="D52" s="134"/>
      <c r="E52" s="134"/>
      <c r="F52" s="134"/>
      <c r="G52" s="134"/>
      <c r="H52" s="134"/>
      <c r="I52" s="134"/>
      <c r="J52" s="7">
        <f t="shared" si="0"/>
        <v>0</v>
      </c>
      <c r="K52" s="7"/>
      <c r="L52" s="134" t="s">
        <v>243</v>
      </c>
      <c r="M52" s="7">
        <v>12</v>
      </c>
      <c r="N52" s="7">
        <v>81</v>
      </c>
      <c r="O52" s="7">
        <v>0</v>
      </c>
      <c r="P52" s="7">
        <v>7</v>
      </c>
      <c r="Q52" s="7"/>
      <c r="R52" s="7"/>
      <c r="S52" s="7"/>
      <c r="T52" s="7"/>
      <c r="U52" s="7"/>
      <c r="V52" s="7"/>
      <c r="W52" s="7"/>
      <c r="X52" s="7"/>
      <c r="Y52" s="7"/>
      <c r="Z52" s="7"/>
      <c r="AA52" s="7"/>
      <c r="AB52" s="7"/>
      <c r="AC52" s="7"/>
    </row>
    <row r="53" spans="1:29"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row>
    <row r="54" spans="1:29"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row>
    <row r="55" spans="1:29"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row>
    <row r="56" spans="1:29"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row>
    <row r="57" spans="1:29"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row>
    <row r="58" spans="1:29"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row>
    <row r="59" spans="1:29"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row>
    <row r="60" spans="1:29"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row>
    <row r="61" spans="1:29"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row>
    <row r="62" spans="1:29"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row>
    <row r="63" spans="1:29"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row>
    <row r="64" spans="1:29"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row>
    <row r="65" spans="1:29"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row>
    <row r="66" spans="1:29"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row>
    <row r="67" spans="1:29"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row>
    <row r="68" spans="1:29"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row>
    <row r="69" spans="1:29"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row>
    <row r="70" spans="1:29"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row>
    <row r="71" spans="1:29"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row>
    <row r="72" spans="1:29"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row>
    <row r="73" spans="1:29"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row>
    <row r="74" spans="1:29"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row>
    <row r="75" spans="1:29"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row>
    <row r="76" spans="1:29"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row>
    <row r="77" spans="1:29"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row>
    <row r="78" spans="1:29"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row>
    <row r="79" spans="1:29"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row>
    <row r="80" spans="1:29"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row>
    <row r="81" spans="1:29"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row>
    <row r="82" spans="1:29"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row>
    <row r="83" spans="1:29"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row>
    <row r="84" spans="1:29"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row>
    <row r="85" spans="1:29"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row>
    <row r="86" spans="1:29"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row>
    <row r="87" spans="1:29"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row>
    <row r="88" spans="1:29"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row>
    <row r="89" spans="1:29"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row>
    <row r="90" spans="1:29"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row>
    <row r="91" spans="1:29"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row>
    <row r="92" spans="1:29"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row>
    <row r="93" spans="1:29"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row>
    <row r="94" spans="1:29"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row>
    <row r="95" spans="1:29"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row>
    <row r="96" spans="1:29"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row>
    <row r="97" spans="1:29"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row>
    <row r="98" spans="1:29"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row>
    <row r="99" spans="1:29"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row>
    <row r="100" spans="1:29"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row>
    <row r="101" spans="1:29"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row>
    <row r="102" spans="1:29"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row>
    <row r="103" spans="1:29"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row>
    <row r="104" spans="1:29"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row>
    <row r="105" spans="1:29"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row>
    <row r="106" spans="1:29"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row>
    <row r="107" spans="1:29"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row>
    <row r="108" spans="1:29"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row>
    <row r="109" spans="1:29"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row>
    <row r="110" spans="1:29"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row>
    <row r="111" spans="1:29"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row>
    <row r="112" spans="1:29"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row>
    <row r="113" spans="1:29"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row>
    <row r="114" spans="1:29"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row>
    <row r="115" spans="1:29"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row>
    <row r="116" spans="1:29"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row>
    <row r="117" spans="1:29"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row>
    <row r="118" spans="1:29"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row>
    <row r="119" spans="1:29"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row>
    <row r="120" spans="1:29"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row>
    <row r="121" spans="1:29"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row>
    <row r="122" spans="1:29"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row>
    <row r="123" spans="1:29"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row>
    <row r="124" spans="1:29"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row>
    <row r="125" spans="1:29"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row>
    <row r="126" spans="1:29"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row>
    <row r="127" spans="1:29"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row>
    <row r="128" spans="1:29"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row>
    <row r="129" spans="1:29"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row>
    <row r="130" spans="1:29"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row>
    <row r="131" spans="1:29"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row>
    <row r="132" spans="1:29"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row>
    <row r="133" spans="1:29"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row>
    <row r="134" spans="1:29"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row>
    <row r="135" spans="1:29"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row>
    <row r="136" spans="1:29"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row>
    <row r="137" spans="1:29"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row>
    <row r="138" spans="1:29"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row>
    <row r="139" spans="1:29"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row>
    <row r="140" spans="1:29"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row>
    <row r="141" spans="1:29"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row>
    <row r="142" spans="1:29"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row>
    <row r="143" spans="1:29"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row>
    <row r="144" spans="1:29"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row>
    <row r="145" spans="1:29"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row>
    <row r="146" spans="1:29"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row>
    <row r="147" spans="1:29"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row>
    <row r="148" spans="1:29"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row>
    <row r="149" spans="1:29"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row>
    <row r="150" spans="1:29"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row>
    <row r="151" spans="1:29"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row>
    <row r="152" spans="1:29"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row>
    <row r="153" spans="1:29"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row>
    <row r="154" spans="1:29"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row>
    <row r="155" spans="1:29"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row>
    <row r="156" spans="1:29"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row>
    <row r="157" spans="1:29"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row>
    <row r="158" spans="1:29"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row>
    <row r="159" spans="1:29"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row>
    <row r="160" spans="1:29"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row>
    <row r="161" spans="1:29"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row>
    <row r="162" spans="1:29"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row>
    <row r="163" spans="1:29"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row>
    <row r="164" spans="1:29"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row>
    <row r="165" spans="1:29"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row>
    <row r="166" spans="1:29"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row>
    <row r="167" spans="1:29"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row>
    <row r="168" spans="1:29"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row>
    <row r="169" spans="1:29"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row>
    <row r="170" spans="1:29"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row>
    <row r="171" spans="1:29"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row>
    <row r="172" spans="1:29"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row>
    <row r="173" spans="1:29"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row>
    <row r="174" spans="1:29"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row>
    <row r="175" spans="1:29"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row>
    <row r="176" spans="1:29"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row>
    <row r="177" spans="1:29"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row>
    <row r="178" spans="1:29"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row>
    <row r="179" spans="1:29"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row>
    <row r="180" spans="1:29"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row>
    <row r="181" spans="1:29"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row>
    <row r="182" spans="1:29"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row>
    <row r="183" spans="1:29"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row>
    <row r="184" spans="1:29"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row>
    <row r="185" spans="1:29"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row>
    <row r="186" spans="1:29"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row>
    <row r="187" spans="1:29"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row>
    <row r="188" spans="1:29"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row>
    <row r="189" spans="1:29"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row>
    <row r="190" spans="1:29"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row>
    <row r="191" spans="1:29"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row>
    <row r="192" spans="1:29"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row>
    <row r="193" spans="1:29"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row>
    <row r="194" spans="1:29"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row>
    <row r="195" spans="1:29"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row>
    <row r="196" spans="1:29"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row>
    <row r="197" spans="1:29"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row>
    <row r="198" spans="1:29"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row>
    <row r="199" spans="1:29"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row>
    <row r="200" spans="1:29"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row>
    <row r="201" spans="1:29"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row>
    <row r="202" spans="1:29"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row>
    <row r="203" spans="1:29"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row>
    <row r="204" spans="1:29"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row>
    <row r="205" spans="1:29"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row>
    <row r="206" spans="1:29"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row>
    <row r="207" spans="1:29"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row>
    <row r="208" spans="1:29"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row>
    <row r="209" spans="1:29"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row>
    <row r="210" spans="1:29"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row>
    <row r="211" spans="1:29"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row>
    <row r="212" spans="1:29"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row>
    <row r="213" spans="1:29"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row>
    <row r="214" spans="1:29"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row>
    <row r="215" spans="1:29"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row>
    <row r="216" spans="1:29"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row>
    <row r="217" spans="1:29"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row>
    <row r="218" spans="1:29"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row>
    <row r="219" spans="1:29"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row>
    <row r="220" spans="1:29"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row>
    <row r="221" spans="1:29"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row>
    <row r="222" spans="1:29"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row>
    <row r="223" spans="1:29"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29"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1:29"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1:29"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1:29"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1:29"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1:29"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1:29"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row>
    <row r="231" spans="1:29"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row>
    <row r="232" spans="1:29"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row>
    <row r="233" spans="1:29"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row>
    <row r="234" spans="1:29"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row>
    <row r="235" spans="1:29"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row>
    <row r="236" spans="1:29"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row>
    <row r="237" spans="1:29"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row>
    <row r="238" spans="1:29"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row>
    <row r="239" spans="1:2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row>
    <row r="240" spans="1:29"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row>
    <row r="241" spans="1:29"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row>
    <row r="242" spans="1:29"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row>
    <row r="243" spans="1:29"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row>
    <row r="244" spans="1:29"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row>
    <row r="245" spans="1:29"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row>
    <row r="246" spans="1:29"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row>
    <row r="247" spans="1:29"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row>
    <row r="248" spans="1:29"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row>
    <row r="249" spans="1:2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row>
    <row r="250" spans="1:29"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row>
    <row r="251" spans="1:29"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row>
    <row r="252" spans="1:29"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row>
    <row r="253" spans="1:29" ht="15.75" customHeight="1"/>
    <row r="254" spans="1:29" ht="15.75" customHeight="1"/>
    <row r="255" spans="1:29" ht="15.75" customHeight="1"/>
    <row r="256" spans="1:2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I1"/>
    <mergeCell ref="L1:P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AH1000"/>
  <sheetViews>
    <sheetView workbookViewId="0">
      <pane ySplit="2" topLeftCell="A3" activePane="bottomLeft" state="frozen"/>
      <selection pane="bottomLeft" activeCell="B4" sqref="B4"/>
    </sheetView>
  </sheetViews>
  <sheetFormatPr baseColWidth="10" defaultColWidth="12.6640625" defaultRowHeight="15" customHeight="1"/>
  <cols>
    <col min="21" max="21" width="16.6640625" customWidth="1"/>
  </cols>
  <sheetData>
    <row r="1" spans="1:34" ht="42" customHeight="1">
      <c r="A1" s="237" t="s">
        <v>295</v>
      </c>
      <c r="B1" s="212"/>
      <c r="C1" s="212"/>
      <c r="D1" s="212"/>
      <c r="E1" s="212"/>
      <c r="F1" s="212"/>
      <c r="G1" s="212"/>
      <c r="H1" s="212"/>
      <c r="I1" s="212"/>
      <c r="J1" s="7"/>
      <c r="K1" s="7"/>
      <c r="L1" s="237" t="s">
        <v>296</v>
      </c>
      <c r="M1" s="212"/>
      <c r="N1" s="212"/>
      <c r="O1" s="212"/>
      <c r="P1" s="212"/>
      <c r="Q1" s="212"/>
      <c r="R1" s="7"/>
      <c r="S1" s="238" t="s">
        <v>297</v>
      </c>
      <c r="T1" s="212"/>
      <c r="U1" s="212"/>
      <c r="V1" s="178"/>
      <c r="W1" s="178"/>
      <c r="X1" s="7"/>
      <c r="Y1" s="7"/>
      <c r="Z1" s="7"/>
      <c r="AA1" s="7"/>
      <c r="AB1" s="7"/>
      <c r="AC1" s="7"/>
      <c r="AD1" s="7"/>
      <c r="AE1" s="7"/>
      <c r="AF1" s="7"/>
      <c r="AG1" s="7"/>
      <c r="AH1" s="7"/>
    </row>
    <row r="2" spans="1:34" ht="44.25" customHeight="1">
      <c r="A2" s="179" t="s">
        <v>31</v>
      </c>
      <c r="B2" s="157" t="s">
        <v>99</v>
      </c>
      <c r="C2" s="157" t="s">
        <v>288</v>
      </c>
      <c r="D2" s="179" t="s">
        <v>289</v>
      </c>
      <c r="E2" s="179" t="s">
        <v>290</v>
      </c>
      <c r="F2" s="179" t="s">
        <v>291</v>
      </c>
      <c r="G2" s="179" t="s">
        <v>292</v>
      </c>
      <c r="H2" s="157" t="s">
        <v>293</v>
      </c>
      <c r="I2" s="179" t="s">
        <v>294</v>
      </c>
      <c r="J2" s="7" t="s">
        <v>298</v>
      </c>
      <c r="K2" s="7"/>
      <c r="L2" s="180" t="s">
        <v>31</v>
      </c>
      <c r="M2" s="157" t="s">
        <v>99</v>
      </c>
      <c r="N2" s="180" t="s">
        <v>289</v>
      </c>
      <c r="O2" s="180" t="s">
        <v>290</v>
      </c>
      <c r="P2" s="180" t="s">
        <v>292</v>
      </c>
      <c r="Q2" s="181" t="s">
        <v>288</v>
      </c>
      <c r="R2" s="7"/>
      <c r="S2" s="179" t="s">
        <v>31</v>
      </c>
      <c r="T2" s="181" t="s">
        <v>299</v>
      </c>
      <c r="U2" s="181" t="s">
        <v>300</v>
      </c>
      <c r="V2" s="45" t="s">
        <v>301</v>
      </c>
      <c r="W2" s="7"/>
      <c r="X2" s="7"/>
      <c r="Y2" s="7"/>
      <c r="Z2" s="7"/>
      <c r="AA2" s="7"/>
      <c r="AB2" s="7"/>
      <c r="AC2" s="7"/>
      <c r="AD2" s="7"/>
      <c r="AE2" s="7"/>
      <c r="AF2" s="7"/>
      <c r="AG2" s="7"/>
      <c r="AH2" s="7"/>
    </row>
    <row r="3" spans="1:34" ht="15.75" customHeight="1">
      <c r="A3" s="134" t="s">
        <v>192</v>
      </c>
      <c r="B3" s="162" t="s">
        <v>40</v>
      </c>
      <c r="C3" s="182">
        <v>48</v>
      </c>
      <c r="D3" s="182">
        <v>0</v>
      </c>
      <c r="E3" s="182">
        <v>0</v>
      </c>
      <c r="F3" s="182">
        <v>14</v>
      </c>
      <c r="G3" s="182">
        <v>2</v>
      </c>
      <c r="H3" s="182">
        <v>22</v>
      </c>
      <c r="I3" s="182">
        <v>14</v>
      </c>
      <c r="J3" s="7">
        <f t="shared" ref="J3:J52" si="0">SUM(C3:I3)</f>
        <v>100</v>
      </c>
      <c r="K3" s="7"/>
      <c r="L3" s="134" t="s">
        <v>192</v>
      </c>
      <c r="M3" s="162" t="s">
        <v>40</v>
      </c>
      <c r="N3" s="7">
        <v>17</v>
      </c>
      <c r="O3" s="7">
        <v>38</v>
      </c>
      <c r="P3" s="7">
        <v>0</v>
      </c>
      <c r="Q3" s="7">
        <v>45</v>
      </c>
      <c r="R3" s="7"/>
      <c r="S3" s="134" t="s">
        <v>192</v>
      </c>
      <c r="T3" s="7">
        <v>2267</v>
      </c>
      <c r="U3" s="7">
        <v>136</v>
      </c>
      <c r="V3" s="7"/>
      <c r="W3" s="7"/>
      <c r="X3" s="7"/>
      <c r="Y3" s="7"/>
      <c r="Z3" s="7"/>
      <c r="AA3" s="7"/>
      <c r="AB3" s="7"/>
      <c r="AC3" s="7"/>
      <c r="AD3" s="7"/>
      <c r="AE3" s="7"/>
      <c r="AF3" s="7"/>
      <c r="AG3" s="7"/>
      <c r="AH3" s="7"/>
    </row>
    <row r="4" spans="1:34" ht="15.75" customHeight="1">
      <c r="A4" s="134" t="s">
        <v>193</v>
      </c>
      <c r="B4" s="162" t="s">
        <v>194</v>
      </c>
      <c r="C4" s="134">
        <v>25</v>
      </c>
      <c r="D4" s="134">
        <v>12</v>
      </c>
      <c r="E4" s="134">
        <v>0</v>
      </c>
      <c r="F4" s="134">
        <v>26</v>
      </c>
      <c r="G4" s="134">
        <v>5</v>
      </c>
      <c r="H4" s="134">
        <v>9</v>
      </c>
      <c r="I4" s="134">
        <v>22</v>
      </c>
      <c r="J4" s="7">
        <f t="shared" si="0"/>
        <v>99</v>
      </c>
      <c r="K4" s="7"/>
      <c r="L4" s="134" t="s">
        <v>193</v>
      </c>
      <c r="M4" s="162" t="s">
        <v>194</v>
      </c>
      <c r="N4" s="7">
        <v>6</v>
      </c>
      <c r="O4" s="7">
        <v>90</v>
      </c>
      <c r="P4" s="7">
        <v>1</v>
      </c>
      <c r="Q4" s="7">
        <v>4</v>
      </c>
      <c r="R4" s="7"/>
      <c r="S4" s="134" t="s">
        <v>193</v>
      </c>
      <c r="T4" s="7">
        <v>1099</v>
      </c>
      <c r="U4" s="7">
        <v>84</v>
      </c>
      <c r="V4" s="7"/>
      <c r="W4" s="7"/>
      <c r="X4" s="7"/>
      <c r="Y4" s="7"/>
      <c r="Z4" s="7"/>
      <c r="AA4" s="7"/>
      <c r="AB4" s="7"/>
      <c r="AC4" s="7"/>
      <c r="AD4" s="7"/>
      <c r="AE4" s="7"/>
      <c r="AF4" s="7"/>
      <c r="AG4" s="7"/>
      <c r="AH4" s="7"/>
    </row>
    <row r="5" spans="1:34" ht="15.75" customHeight="1">
      <c r="A5" s="134" t="s">
        <v>195</v>
      </c>
      <c r="B5" s="162" t="s">
        <v>42</v>
      </c>
      <c r="C5" s="134">
        <v>10</v>
      </c>
      <c r="D5" s="134">
        <v>0</v>
      </c>
      <c r="E5" s="134">
        <v>11</v>
      </c>
      <c r="F5" s="134">
        <v>42</v>
      </c>
      <c r="G5" s="134">
        <v>6</v>
      </c>
      <c r="H5" s="134">
        <v>30</v>
      </c>
      <c r="I5" s="134">
        <v>2</v>
      </c>
      <c r="J5" s="7">
        <f t="shared" si="0"/>
        <v>101</v>
      </c>
      <c r="K5" s="7"/>
      <c r="L5" s="134" t="s">
        <v>195</v>
      </c>
      <c r="M5" s="162" t="s">
        <v>42</v>
      </c>
      <c r="N5" s="7">
        <v>10</v>
      </c>
      <c r="O5" s="7">
        <v>90</v>
      </c>
      <c r="P5" s="7">
        <v>0</v>
      </c>
      <c r="Q5" s="7">
        <v>0</v>
      </c>
      <c r="R5" s="7"/>
      <c r="S5" s="134" t="s">
        <v>195</v>
      </c>
      <c r="T5" s="7">
        <v>2923</v>
      </c>
      <c r="U5" s="7">
        <v>162</v>
      </c>
      <c r="V5" s="7"/>
      <c r="W5" s="7"/>
      <c r="X5" s="7"/>
      <c r="Y5" s="7"/>
      <c r="Z5" s="7"/>
      <c r="AA5" s="7"/>
      <c r="AB5" s="7"/>
      <c r="AC5" s="7"/>
      <c r="AD5" s="7"/>
      <c r="AE5" s="7"/>
      <c r="AF5" s="7"/>
      <c r="AG5" s="7"/>
      <c r="AH5" s="7"/>
    </row>
    <row r="6" spans="1:34" ht="15.75" customHeight="1">
      <c r="A6" s="134" t="s">
        <v>196</v>
      </c>
      <c r="B6" s="162" t="s">
        <v>41</v>
      </c>
      <c r="C6" s="134">
        <v>47</v>
      </c>
      <c r="D6" s="134">
        <v>0</v>
      </c>
      <c r="E6" s="134">
        <v>0</v>
      </c>
      <c r="F6" s="134">
        <v>13</v>
      </c>
      <c r="G6" s="134">
        <v>3</v>
      </c>
      <c r="H6" s="134">
        <v>23</v>
      </c>
      <c r="I6" s="134">
        <v>14</v>
      </c>
      <c r="J6" s="7">
        <f t="shared" si="0"/>
        <v>100</v>
      </c>
      <c r="K6" s="7"/>
      <c r="L6" s="134" t="s">
        <v>196</v>
      </c>
      <c r="M6" s="162" t="s">
        <v>41</v>
      </c>
      <c r="N6" s="7">
        <v>15</v>
      </c>
      <c r="O6" s="7">
        <v>28</v>
      </c>
      <c r="P6" s="7">
        <v>0</v>
      </c>
      <c r="Q6" s="7">
        <v>57</v>
      </c>
      <c r="R6" s="7"/>
      <c r="S6" s="134" t="s">
        <v>196</v>
      </c>
      <c r="T6" s="7">
        <v>2054</v>
      </c>
      <c r="U6" s="7">
        <v>125</v>
      </c>
      <c r="V6" s="7"/>
      <c r="W6" s="7"/>
      <c r="X6" s="7"/>
      <c r="Y6" s="7"/>
      <c r="Z6" s="7"/>
      <c r="AA6" s="7"/>
      <c r="AB6" s="7"/>
      <c r="AC6" s="7"/>
      <c r="AD6" s="7"/>
      <c r="AE6" s="7"/>
      <c r="AF6" s="7"/>
      <c r="AG6" s="7"/>
      <c r="AH6" s="7"/>
    </row>
    <row r="7" spans="1:34" ht="15.75" customHeight="1">
      <c r="A7" s="134" t="s">
        <v>197</v>
      </c>
      <c r="B7" s="162" t="s">
        <v>37</v>
      </c>
      <c r="C7" s="134">
        <v>5</v>
      </c>
      <c r="D7" s="134">
        <v>0</v>
      </c>
      <c r="E7" s="134">
        <v>3</v>
      </c>
      <c r="F7" s="134">
        <v>26</v>
      </c>
      <c r="G7" s="134">
        <v>3</v>
      </c>
      <c r="H7" s="134">
        <v>54</v>
      </c>
      <c r="I7" s="134">
        <v>9</v>
      </c>
      <c r="J7" s="7">
        <f t="shared" si="0"/>
        <v>100</v>
      </c>
      <c r="K7" s="7"/>
      <c r="L7" s="134" t="s">
        <v>197</v>
      </c>
      <c r="M7" s="162" t="s">
        <v>37</v>
      </c>
      <c r="N7" s="7">
        <v>11</v>
      </c>
      <c r="O7" s="7">
        <v>88</v>
      </c>
      <c r="P7" s="7">
        <v>1</v>
      </c>
      <c r="Q7" s="7">
        <v>1</v>
      </c>
      <c r="R7" s="7"/>
      <c r="S7" s="134" t="s">
        <v>197</v>
      </c>
      <c r="T7" s="7">
        <v>2861</v>
      </c>
      <c r="U7" s="7">
        <v>159</v>
      </c>
      <c r="V7" s="7"/>
      <c r="W7" s="7"/>
      <c r="X7" s="7"/>
      <c r="Y7" s="7"/>
      <c r="Z7" s="7"/>
      <c r="AA7" s="7"/>
      <c r="AB7" s="7"/>
      <c r="AC7" s="7"/>
      <c r="AD7" s="7"/>
      <c r="AE7" s="7"/>
      <c r="AF7" s="7"/>
      <c r="AG7" s="7"/>
      <c r="AH7" s="7"/>
    </row>
    <row r="8" spans="1:34" ht="15.75" customHeight="1">
      <c r="A8" s="134" t="s">
        <v>198</v>
      </c>
      <c r="B8" s="162" t="s">
        <v>43</v>
      </c>
      <c r="C8" s="134">
        <v>11</v>
      </c>
      <c r="D8" s="134">
        <v>0</v>
      </c>
      <c r="E8" s="134">
        <v>11</v>
      </c>
      <c r="F8" s="134">
        <v>41</v>
      </c>
      <c r="G8" s="134">
        <v>5</v>
      </c>
      <c r="H8" s="134">
        <v>30</v>
      </c>
      <c r="I8" s="134">
        <v>2</v>
      </c>
      <c r="J8" s="7">
        <f t="shared" si="0"/>
        <v>100</v>
      </c>
      <c r="K8" s="7"/>
      <c r="L8" s="134" t="s">
        <v>198</v>
      </c>
      <c r="M8" s="162" t="s">
        <v>43</v>
      </c>
      <c r="N8" s="7">
        <v>1</v>
      </c>
      <c r="O8" s="7">
        <v>98</v>
      </c>
      <c r="P8" s="7">
        <v>0</v>
      </c>
      <c r="Q8" s="7">
        <v>1</v>
      </c>
      <c r="R8" s="7"/>
      <c r="S8" s="134" t="s">
        <v>198</v>
      </c>
      <c r="T8" s="7">
        <v>3040</v>
      </c>
      <c r="U8" s="7">
        <v>167</v>
      </c>
      <c r="V8" s="7"/>
      <c r="W8" s="7"/>
      <c r="X8" s="7"/>
      <c r="Y8" s="7"/>
      <c r="Z8" s="7"/>
      <c r="AA8" s="7"/>
      <c r="AB8" s="7"/>
      <c r="AC8" s="7"/>
      <c r="AD8" s="7"/>
      <c r="AE8" s="7"/>
      <c r="AF8" s="7"/>
      <c r="AG8" s="7"/>
      <c r="AH8" s="7"/>
    </row>
    <row r="9" spans="1:34" ht="15.75" customHeight="1">
      <c r="A9" s="134" t="s">
        <v>199</v>
      </c>
      <c r="B9" s="162" t="s">
        <v>44</v>
      </c>
      <c r="C9" s="134">
        <v>15</v>
      </c>
      <c r="D9" s="134">
        <v>3</v>
      </c>
      <c r="E9" s="134">
        <v>0</v>
      </c>
      <c r="F9" s="134">
        <v>16</v>
      </c>
      <c r="G9" s="134">
        <v>6</v>
      </c>
      <c r="H9" s="134">
        <v>33</v>
      </c>
      <c r="I9" s="134">
        <v>28</v>
      </c>
      <c r="J9" s="7">
        <f t="shared" si="0"/>
        <v>101</v>
      </c>
      <c r="K9" s="7"/>
      <c r="L9" s="134" t="s">
        <v>199</v>
      </c>
      <c r="M9" s="162" t="s">
        <v>44</v>
      </c>
      <c r="N9" s="7">
        <v>43</v>
      </c>
      <c r="O9" s="7">
        <v>51</v>
      </c>
      <c r="P9" s="7">
        <v>0</v>
      </c>
      <c r="Q9" s="7">
        <v>6</v>
      </c>
      <c r="R9" s="7"/>
      <c r="S9" s="134" t="s">
        <v>199</v>
      </c>
      <c r="T9" s="7">
        <v>2810</v>
      </c>
      <c r="U9" s="7">
        <v>157</v>
      </c>
      <c r="V9" s="7"/>
      <c r="W9" s="7"/>
      <c r="X9" s="7"/>
      <c r="Y9" s="7"/>
      <c r="Z9" s="7"/>
      <c r="AA9" s="7"/>
      <c r="AB9" s="7"/>
      <c r="AC9" s="7"/>
      <c r="AD9" s="7"/>
      <c r="AE9" s="7"/>
      <c r="AF9" s="7"/>
      <c r="AG9" s="7"/>
      <c r="AH9" s="7"/>
    </row>
    <row r="10" spans="1:34" ht="15.75" customHeight="1">
      <c r="A10" s="134" t="s">
        <v>200</v>
      </c>
      <c r="B10" s="162" t="s">
        <v>45</v>
      </c>
      <c r="C10" s="134">
        <v>14</v>
      </c>
      <c r="D10" s="134">
        <v>2</v>
      </c>
      <c r="E10" s="134">
        <v>0</v>
      </c>
      <c r="F10" s="134">
        <v>18</v>
      </c>
      <c r="G10" s="134">
        <v>7</v>
      </c>
      <c r="H10" s="134">
        <v>29</v>
      </c>
      <c r="I10" s="134">
        <v>31</v>
      </c>
      <c r="J10" s="7">
        <f t="shared" si="0"/>
        <v>101</v>
      </c>
      <c r="K10" s="7"/>
      <c r="L10" s="134" t="s">
        <v>200</v>
      </c>
      <c r="M10" s="162" t="s">
        <v>45</v>
      </c>
      <c r="N10" s="7">
        <v>44</v>
      </c>
      <c r="O10" s="7">
        <v>50</v>
      </c>
      <c r="P10" s="7">
        <v>0</v>
      </c>
      <c r="Q10" s="7">
        <v>6</v>
      </c>
      <c r="R10" s="7"/>
      <c r="S10" s="134" t="s">
        <v>200</v>
      </c>
      <c r="T10" s="7">
        <v>2476</v>
      </c>
      <c r="U10" s="7">
        <v>143</v>
      </c>
      <c r="V10" s="7"/>
      <c r="W10" s="7"/>
      <c r="X10" s="7"/>
      <c r="Y10" s="7"/>
      <c r="Z10" s="7"/>
      <c r="AA10" s="7"/>
      <c r="AB10" s="7"/>
      <c r="AC10" s="7"/>
      <c r="AD10" s="7"/>
      <c r="AE10" s="7"/>
      <c r="AF10" s="7"/>
      <c r="AG10" s="7"/>
      <c r="AH10" s="7"/>
    </row>
    <row r="11" spans="1:34" ht="15.75" customHeight="1">
      <c r="A11" s="134" t="s">
        <v>201</v>
      </c>
      <c r="B11" s="162" t="s">
        <v>46</v>
      </c>
      <c r="C11" s="134">
        <v>48</v>
      </c>
      <c r="D11" s="134">
        <v>0</v>
      </c>
      <c r="E11" s="134">
        <v>0</v>
      </c>
      <c r="F11" s="134">
        <v>7</v>
      </c>
      <c r="G11" s="134">
        <v>0</v>
      </c>
      <c r="H11" s="134">
        <v>40</v>
      </c>
      <c r="I11" s="134">
        <v>4</v>
      </c>
      <c r="J11" s="7">
        <f t="shared" si="0"/>
        <v>99</v>
      </c>
      <c r="K11" s="7"/>
      <c r="L11" s="134" t="s">
        <v>201</v>
      </c>
      <c r="M11" s="162" t="s">
        <v>46</v>
      </c>
      <c r="N11" s="7">
        <v>22</v>
      </c>
      <c r="O11" s="7">
        <v>61</v>
      </c>
      <c r="P11" s="7">
        <v>1</v>
      </c>
      <c r="Q11" s="7">
        <v>17</v>
      </c>
      <c r="R11" s="7"/>
      <c r="S11" s="134" t="s">
        <v>201</v>
      </c>
      <c r="T11" s="7">
        <v>2657</v>
      </c>
      <c r="U11" s="7">
        <v>152</v>
      </c>
      <c r="V11" s="7"/>
      <c r="W11" s="7"/>
      <c r="X11" s="7"/>
      <c r="Y11" s="7"/>
      <c r="Z11" s="7"/>
      <c r="AA11" s="7"/>
      <c r="AB11" s="7"/>
      <c r="AC11" s="7"/>
      <c r="AD11" s="7"/>
      <c r="AE11" s="7"/>
      <c r="AF11" s="7"/>
      <c r="AG11" s="7"/>
      <c r="AH11" s="7"/>
    </row>
    <row r="12" spans="1:34" ht="15.75" customHeight="1">
      <c r="A12" s="134" t="s">
        <v>202</v>
      </c>
      <c r="B12" s="162" t="s">
        <v>47</v>
      </c>
      <c r="C12" s="134">
        <v>48</v>
      </c>
      <c r="D12" s="134">
        <v>0</v>
      </c>
      <c r="E12" s="134">
        <v>0</v>
      </c>
      <c r="F12" s="134">
        <v>9</v>
      </c>
      <c r="G12" s="134">
        <v>1</v>
      </c>
      <c r="H12" s="134">
        <v>36</v>
      </c>
      <c r="I12" s="134">
        <v>6</v>
      </c>
      <c r="J12" s="7">
        <f t="shared" si="0"/>
        <v>100</v>
      </c>
      <c r="K12" s="7"/>
      <c r="L12" s="134" t="s">
        <v>202</v>
      </c>
      <c r="M12" s="162" t="s">
        <v>47</v>
      </c>
      <c r="N12" s="7">
        <v>18</v>
      </c>
      <c r="O12" s="7">
        <v>42</v>
      </c>
      <c r="P12" s="7">
        <v>0</v>
      </c>
      <c r="Q12" s="7">
        <v>40</v>
      </c>
      <c r="R12" s="7"/>
      <c r="S12" s="134" t="s">
        <v>202</v>
      </c>
      <c r="T12" s="7">
        <v>2778</v>
      </c>
      <c r="U12" s="7">
        <v>158</v>
      </c>
      <c r="V12" s="7"/>
      <c r="W12" s="7"/>
      <c r="X12" s="7"/>
      <c r="Y12" s="7"/>
      <c r="Z12" s="7"/>
      <c r="AA12" s="7"/>
      <c r="AB12" s="7"/>
      <c r="AC12" s="7"/>
      <c r="AD12" s="7"/>
      <c r="AE12" s="7"/>
      <c r="AF12" s="7"/>
      <c r="AG12" s="7"/>
      <c r="AH12" s="7"/>
    </row>
    <row r="13" spans="1:34" ht="15.75" customHeight="1">
      <c r="A13" s="134" t="s">
        <v>203</v>
      </c>
      <c r="B13" s="162" t="s">
        <v>204</v>
      </c>
      <c r="C13" s="134">
        <v>4</v>
      </c>
      <c r="D13" s="134">
        <v>0</v>
      </c>
      <c r="E13" s="134">
        <v>4</v>
      </c>
      <c r="F13" s="134">
        <v>27</v>
      </c>
      <c r="G13" s="134">
        <v>2</v>
      </c>
      <c r="H13" s="134">
        <v>54</v>
      </c>
      <c r="I13" s="134">
        <v>9</v>
      </c>
      <c r="J13" s="7">
        <f t="shared" si="0"/>
        <v>100</v>
      </c>
      <c r="K13" s="7"/>
      <c r="L13" s="134" t="s">
        <v>203</v>
      </c>
      <c r="M13" s="162" t="s">
        <v>204</v>
      </c>
      <c r="N13" s="7">
        <v>0</v>
      </c>
      <c r="O13" s="7">
        <v>99</v>
      </c>
      <c r="P13" s="7">
        <v>1</v>
      </c>
      <c r="Q13" s="7">
        <v>1</v>
      </c>
      <c r="R13" s="7"/>
      <c r="S13" s="134" t="s">
        <v>203</v>
      </c>
      <c r="T13" s="7">
        <v>1099</v>
      </c>
      <c r="U13" s="7">
        <v>84</v>
      </c>
      <c r="V13" s="7"/>
      <c r="W13" s="7"/>
      <c r="X13" s="7"/>
      <c r="Y13" s="7"/>
      <c r="Z13" s="7"/>
      <c r="AA13" s="7"/>
      <c r="AB13" s="7"/>
      <c r="AC13" s="7"/>
      <c r="AD13" s="7"/>
      <c r="AE13" s="7"/>
      <c r="AF13" s="7"/>
      <c r="AG13" s="7"/>
      <c r="AH13" s="7"/>
    </row>
    <row r="14" spans="1:34" ht="15.75" customHeight="1">
      <c r="A14" s="134" t="s">
        <v>205</v>
      </c>
      <c r="B14" s="162" t="s">
        <v>49</v>
      </c>
      <c r="C14" s="134">
        <v>5</v>
      </c>
      <c r="D14" s="134">
        <v>0</v>
      </c>
      <c r="E14" s="134">
        <v>3</v>
      </c>
      <c r="F14" s="134">
        <v>26</v>
      </c>
      <c r="G14" s="134">
        <v>2</v>
      </c>
      <c r="H14" s="134">
        <v>53</v>
      </c>
      <c r="I14" s="134">
        <v>10</v>
      </c>
      <c r="J14" s="7">
        <f t="shared" si="0"/>
        <v>99</v>
      </c>
      <c r="K14" s="7"/>
      <c r="L14" s="134" t="s">
        <v>205</v>
      </c>
      <c r="M14" s="162" t="s">
        <v>49</v>
      </c>
      <c r="N14" s="7">
        <v>1</v>
      </c>
      <c r="O14" s="7">
        <v>99</v>
      </c>
      <c r="P14" s="7">
        <v>0</v>
      </c>
      <c r="Q14" s="7">
        <v>0</v>
      </c>
      <c r="R14" s="7"/>
      <c r="S14" s="134" t="s">
        <v>205</v>
      </c>
      <c r="T14" s="7">
        <v>2968</v>
      </c>
      <c r="U14" s="7">
        <v>164</v>
      </c>
      <c r="V14" s="7"/>
      <c r="W14" s="7"/>
      <c r="X14" s="7"/>
      <c r="Y14" s="7"/>
      <c r="Z14" s="7"/>
      <c r="AA14" s="7"/>
      <c r="AB14" s="7"/>
      <c r="AC14" s="7"/>
      <c r="AD14" s="7"/>
      <c r="AE14" s="7"/>
      <c r="AF14" s="7"/>
      <c r="AG14" s="7"/>
      <c r="AH14" s="7"/>
    </row>
    <row r="15" spans="1:34" ht="15.75" customHeight="1">
      <c r="A15" s="134" t="s">
        <v>206</v>
      </c>
      <c r="B15" s="162" t="s">
        <v>50</v>
      </c>
      <c r="C15" s="134">
        <v>24</v>
      </c>
      <c r="D15" s="134">
        <v>0</v>
      </c>
      <c r="E15" s="134">
        <v>0</v>
      </c>
      <c r="F15" s="134">
        <v>23</v>
      </c>
      <c r="G15" s="134">
        <v>3</v>
      </c>
      <c r="H15" s="134">
        <v>33</v>
      </c>
      <c r="I15" s="134">
        <v>18</v>
      </c>
      <c r="J15" s="7">
        <f t="shared" si="0"/>
        <v>101</v>
      </c>
      <c r="K15" s="7"/>
      <c r="L15" s="134" t="s">
        <v>206</v>
      </c>
      <c r="M15" s="162" t="s">
        <v>50</v>
      </c>
      <c r="N15" s="7">
        <v>8</v>
      </c>
      <c r="O15" s="7">
        <v>87</v>
      </c>
      <c r="P15" s="7">
        <v>0</v>
      </c>
      <c r="Q15" s="7">
        <v>5</v>
      </c>
      <c r="R15" s="7"/>
      <c r="S15" s="134" t="s">
        <v>206</v>
      </c>
      <c r="T15" s="7">
        <v>2697</v>
      </c>
      <c r="U15" s="7">
        <v>152</v>
      </c>
      <c r="V15" s="7"/>
      <c r="W15" s="7"/>
      <c r="X15" s="7"/>
      <c r="Y15" s="7"/>
      <c r="Z15" s="7"/>
      <c r="AA15" s="7"/>
      <c r="AB15" s="7"/>
      <c r="AC15" s="7"/>
      <c r="AD15" s="7"/>
      <c r="AE15" s="7"/>
      <c r="AF15" s="7"/>
      <c r="AG15" s="7"/>
      <c r="AH15" s="7"/>
    </row>
    <row r="16" spans="1:34" ht="15.75" customHeight="1">
      <c r="A16" s="134" t="s">
        <v>207</v>
      </c>
      <c r="B16" s="162" t="s">
        <v>51</v>
      </c>
      <c r="C16" s="134">
        <v>21</v>
      </c>
      <c r="D16" s="134">
        <v>0</v>
      </c>
      <c r="E16" s="134">
        <v>0</v>
      </c>
      <c r="F16" s="134">
        <v>21</v>
      </c>
      <c r="G16" s="134">
        <v>2</v>
      </c>
      <c r="H16" s="134">
        <v>41</v>
      </c>
      <c r="I16" s="134">
        <v>16</v>
      </c>
      <c r="J16" s="7">
        <f t="shared" si="0"/>
        <v>101</v>
      </c>
      <c r="K16" s="7"/>
      <c r="L16" s="134" t="s">
        <v>207</v>
      </c>
      <c r="M16" s="162" t="s">
        <v>51</v>
      </c>
      <c r="N16" s="7">
        <v>13</v>
      </c>
      <c r="O16" s="7">
        <v>79</v>
      </c>
      <c r="P16" s="7">
        <v>0</v>
      </c>
      <c r="Q16" s="7">
        <v>8</v>
      </c>
      <c r="R16" s="7"/>
      <c r="S16" s="134" t="s">
        <v>207</v>
      </c>
      <c r="T16" s="7">
        <v>2856</v>
      </c>
      <c r="U16" s="7">
        <v>159</v>
      </c>
      <c r="V16" s="7"/>
      <c r="W16" s="7"/>
      <c r="X16" s="7"/>
      <c r="Y16" s="7"/>
      <c r="Z16" s="7"/>
      <c r="AA16" s="7"/>
      <c r="AB16" s="7"/>
      <c r="AC16" s="7"/>
      <c r="AD16" s="7"/>
      <c r="AE16" s="7"/>
      <c r="AF16" s="7"/>
      <c r="AG16" s="7"/>
      <c r="AH16" s="7"/>
    </row>
    <row r="17" spans="1:34" ht="15.75" customHeight="1">
      <c r="A17" s="134" t="s">
        <v>208</v>
      </c>
      <c r="B17" s="162" t="s">
        <v>48</v>
      </c>
      <c r="C17" s="134">
        <v>20</v>
      </c>
      <c r="D17" s="134">
        <v>0</v>
      </c>
      <c r="E17" s="134">
        <v>0</v>
      </c>
      <c r="F17" s="134">
        <v>21</v>
      </c>
      <c r="G17" s="134">
        <v>3</v>
      </c>
      <c r="H17" s="134">
        <v>41</v>
      </c>
      <c r="I17" s="134">
        <v>16</v>
      </c>
      <c r="J17" s="7">
        <f t="shared" si="0"/>
        <v>101</v>
      </c>
      <c r="K17" s="7"/>
      <c r="L17" s="134" t="s">
        <v>208</v>
      </c>
      <c r="M17" s="162" t="s">
        <v>48</v>
      </c>
      <c r="N17" s="7">
        <v>10</v>
      </c>
      <c r="O17" s="7">
        <v>83</v>
      </c>
      <c r="P17" s="7">
        <v>0</v>
      </c>
      <c r="Q17" s="7">
        <v>6</v>
      </c>
      <c r="R17" s="7"/>
      <c r="S17" s="134" t="s">
        <v>208</v>
      </c>
      <c r="T17" s="7">
        <v>2929</v>
      </c>
      <c r="U17" s="7">
        <v>162</v>
      </c>
      <c r="V17" s="7"/>
      <c r="W17" s="7"/>
      <c r="X17" s="7"/>
      <c r="Y17" s="7"/>
      <c r="Z17" s="7"/>
      <c r="AA17" s="7"/>
      <c r="AB17" s="7"/>
      <c r="AC17" s="7"/>
      <c r="AD17" s="7"/>
      <c r="AE17" s="7"/>
      <c r="AF17" s="7"/>
      <c r="AG17" s="7"/>
      <c r="AH17" s="7"/>
    </row>
    <row r="18" spans="1:34" ht="15.75" customHeight="1">
      <c r="A18" s="134" t="s">
        <v>209</v>
      </c>
      <c r="B18" s="162" t="s">
        <v>52</v>
      </c>
      <c r="C18" s="134">
        <v>14</v>
      </c>
      <c r="D18" s="134">
        <v>0</v>
      </c>
      <c r="E18" s="134">
        <v>0</v>
      </c>
      <c r="F18" s="134">
        <v>16</v>
      </c>
      <c r="G18" s="134">
        <v>1</v>
      </c>
      <c r="H18" s="134">
        <v>55</v>
      </c>
      <c r="I18" s="134">
        <v>13</v>
      </c>
      <c r="J18" s="7">
        <f t="shared" si="0"/>
        <v>99</v>
      </c>
      <c r="K18" s="7"/>
      <c r="L18" s="134" t="s">
        <v>209</v>
      </c>
      <c r="M18" s="162" t="s">
        <v>52</v>
      </c>
      <c r="N18" s="7">
        <v>5</v>
      </c>
      <c r="O18" s="7">
        <v>92</v>
      </c>
      <c r="P18" s="7">
        <v>0</v>
      </c>
      <c r="Q18" s="7">
        <v>3</v>
      </c>
      <c r="R18" s="7"/>
      <c r="S18" s="134" t="s">
        <v>209</v>
      </c>
      <c r="T18" s="7">
        <v>2858</v>
      </c>
      <c r="U18" s="7">
        <v>159</v>
      </c>
      <c r="V18" s="7"/>
      <c r="W18" s="7"/>
      <c r="X18" s="7"/>
      <c r="Y18" s="7"/>
      <c r="Z18" s="7"/>
      <c r="AA18" s="7"/>
      <c r="AB18" s="7"/>
      <c r="AC18" s="7"/>
      <c r="AD18" s="7"/>
      <c r="AE18" s="7"/>
      <c r="AF18" s="7"/>
      <c r="AG18" s="7"/>
      <c r="AH18" s="7"/>
    </row>
    <row r="19" spans="1:34" ht="15.75" customHeight="1">
      <c r="A19" s="134" t="s">
        <v>210</v>
      </c>
      <c r="B19" s="162" t="s">
        <v>53</v>
      </c>
      <c r="C19" s="134">
        <v>51</v>
      </c>
      <c r="D19" s="134">
        <v>0</v>
      </c>
      <c r="E19" s="134">
        <v>0</v>
      </c>
      <c r="F19" s="134">
        <v>14</v>
      </c>
      <c r="G19" s="134">
        <v>2</v>
      </c>
      <c r="H19" s="134">
        <v>23</v>
      </c>
      <c r="I19" s="134">
        <v>11</v>
      </c>
      <c r="J19" s="7">
        <f t="shared" si="0"/>
        <v>101</v>
      </c>
      <c r="K19" s="7"/>
      <c r="L19" s="134" t="s">
        <v>210</v>
      </c>
      <c r="M19" s="162" t="s">
        <v>53</v>
      </c>
      <c r="N19" s="7">
        <v>14</v>
      </c>
      <c r="O19" s="7">
        <v>24</v>
      </c>
      <c r="P19" s="7">
        <v>0</v>
      </c>
      <c r="Q19" s="7">
        <v>61</v>
      </c>
      <c r="R19" s="7"/>
      <c r="S19" s="134" t="s">
        <v>210</v>
      </c>
      <c r="T19" s="7">
        <v>2604</v>
      </c>
      <c r="U19" s="7">
        <v>150</v>
      </c>
      <c r="V19" s="7"/>
      <c r="W19" s="7"/>
      <c r="X19" s="7"/>
      <c r="Y19" s="7"/>
      <c r="Z19" s="7"/>
      <c r="AA19" s="7"/>
      <c r="AB19" s="7"/>
      <c r="AC19" s="7"/>
      <c r="AD19" s="7"/>
      <c r="AE19" s="7"/>
      <c r="AF19" s="7"/>
      <c r="AG19" s="7"/>
      <c r="AH19" s="7"/>
    </row>
    <row r="20" spans="1:34" ht="15.75" customHeight="1">
      <c r="A20" s="134" t="s">
        <v>211</v>
      </c>
      <c r="B20" s="162" t="s">
        <v>54</v>
      </c>
      <c r="C20" s="134">
        <v>48</v>
      </c>
      <c r="D20" s="134">
        <v>0</v>
      </c>
      <c r="E20" s="134">
        <v>0</v>
      </c>
      <c r="F20" s="134">
        <v>13</v>
      </c>
      <c r="G20" s="134">
        <v>3</v>
      </c>
      <c r="H20" s="134">
        <v>23</v>
      </c>
      <c r="I20" s="134">
        <v>12</v>
      </c>
      <c r="J20" s="7">
        <f t="shared" si="0"/>
        <v>99</v>
      </c>
      <c r="K20" s="7"/>
      <c r="L20" s="134" t="s">
        <v>211</v>
      </c>
      <c r="M20" s="162" t="s">
        <v>54</v>
      </c>
      <c r="N20" s="7">
        <v>14</v>
      </c>
      <c r="O20" s="7">
        <v>26</v>
      </c>
      <c r="P20" s="7">
        <v>0</v>
      </c>
      <c r="Q20" s="7">
        <v>60</v>
      </c>
      <c r="R20" s="7"/>
      <c r="S20" s="134" t="s">
        <v>211</v>
      </c>
      <c r="T20" s="7">
        <v>2098</v>
      </c>
      <c r="U20" s="7">
        <v>127</v>
      </c>
      <c r="V20" s="7"/>
      <c r="W20" s="7"/>
      <c r="X20" s="7"/>
      <c r="Y20" s="7"/>
      <c r="Z20" s="7"/>
      <c r="AA20" s="7"/>
      <c r="AB20" s="7"/>
      <c r="AC20" s="7"/>
      <c r="AD20" s="7"/>
      <c r="AE20" s="7"/>
      <c r="AF20" s="7"/>
      <c r="AG20" s="7"/>
      <c r="AH20" s="7"/>
    </row>
    <row r="21" spans="1:34" ht="15.75" customHeight="1">
      <c r="A21" s="134" t="s">
        <v>212</v>
      </c>
      <c r="B21" s="162" t="s">
        <v>57</v>
      </c>
      <c r="C21" s="134">
        <v>18</v>
      </c>
      <c r="D21" s="134">
        <v>4</v>
      </c>
      <c r="E21" s="134">
        <v>0</v>
      </c>
      <c r="F21" s="134">
        <v>16</v>
      </c>
      <c r="G21" s="134">
        <v>5</v>
      </c>
      <c r="H21" s="134">
        <v>30</v>
      </c>
      <c r="I21" s="134">
        <v>28</v>
      </c>
      <c r="J21" s="7">
        <f t="shared" si="0"/>
        <v>101</v>
      </c>
      <c r="K21" s="7"/>
      <c r="L21" s="134" t="s">
        <v>212</v>
      </c>
      <c r="M21" s="162" t="s">
        <v>57</v>
      </c>
      <c r="N21" s="7">
        <v>45</v>
      </c>
      <c r="O21" s="7">
        <v>48</v>
      </c>
      <c r="P21" s="7">
        <v>0</v>
      </c>
      <c r="Q21" s="7">
        <v>7</v>
      </c>
      <c r="R21" s="7"/>
      <c r="S21" s="134" t="s">
        <v>212</v>
      </c>
      <c r="T21" s="7">
        <v>2730</v>
      </c>
      <c r="U21" s="7">
        <v>154</v>
      </c>
      <c r="V21" s="7"/>
      <c r="W21" s="7"/>
      <c r="X21" s="7"/>
      <c r="Y21" s="7"/>
      <c r="Z21" s="7"/>
      <c r="AA21" s="7"/>
      <c r="AB21" s="7"/>
      <c r="AC21" s="7"/>
      <c r="AD21" s="7"/>
      <c r="AE21" s="7"/>
      <c r="AF21" s="7"/>
      <c r="AG21" s="7"/>
      <c r="AH21" s="7"/>
    </row>
    <row r="22" spans="1:34" ht="15.75" customHeight="1">
      <c r="A22" s="134" t="s">
        <v>213</v>
      </c>
      <c r="B22" s="162" t="s">
        <v>56</v>
      </c>
      <c r="C22" s="134">
        <v>21</v>
      </c>
      <c r="D22" s="134">
        <v>4</v>
      </c>
      <c r="E22" s="134">
        <v>0</v>
      </c>
      <c r="F22" s="134">
        <v>16</v>
      </c>
      <c r="G22" s="134">
        <v>6</v>
      </c>
      <c r="H22" s="134">
        <v>23</v>
      </c>
      <c r="I22" s="134">
        <v>29</v>
      </c>
      <c r="J22" s="7">
        <f t="shared" si="0"/>
        <v>99</v>
      </c>
      <c r="K22" s="7"/>
      <c r="L22" s="134" t="s">
        <v>213</v>
      </c>
      <c r="M22" s="162" t="s">
        <v>56</v>
      </c>
      <c r="N22" s="7">
        <v>44</v>
      </c>
      <c r="O22" s="7">
        <v>49</v>
      </c>
      <c r="P22" s="7">
        <v>0</v>
      </c>
      <c r="Q22" s="7">
        <v>7</v>
      </c>
      <c r="R22" s="7"/>
      <c r="S22" s="134" t="s">
        <v>213</v>
      </c>
      <c r="T22" s="7">
        <v>2651</v>
      </c>
      <c r="U22" s="7">
        <v>150</v>
      </c>
      <c r="V22" s="7"/>
      <c r="W22" s="7"/>
      <c r="X22" s="7"/>
      <c r="Y22" s="7"/>
      <c r="Z22" s="7"/>
      <c r="AA22" s="7"/>
      <c r="AB22" s="7"/>
      <c r="AC22" s="7"/>
      <c r="AD22" s="7"/>
      <c r="AE22" s="7"/>
      <c r="AF22" s="7"/>
      <c r="AG22" s="7"/>
      <c r="AH22" s="7"/>
    </row>
    <row r="23" spans="1:34" ht="15.75" customHeight="1">
      <c r="A23" s="134" t="s">
        <v>214</v>
      </c>
      <c r="B23" s="162" t="s">
        <v>55</v>
      </c>
      <c r="C23" s="134">
        <v>25</v>
      </c>
      <c r="D23" s="134">
        <v>5</v>
      </c>
      <c r="E23" s="134">
        <v>0</v>
      </c>
      <c r="F23" s="134">
        <v>17</v>
      </c>
      <c r="G23" s="134">
        <v>6</v>
      </c>
      <c r="H23" s="134">
        <v>17</v>
      </c>
      <c r="I23" s="134">
        <v>30</v>
      </c>
      <c r="J23" s="7">
        <f t="shared" si="0"/>
        <v>100</v>
      </c>
      <c r="K23" s="7"/>
      <c r="L23" s="134" t="s">
        <v>214</v>
      </c>
      <c r="M23" s="162" t="s">
        <v>55</v>
      </c>
      <c r="N23" s="7">
        <v>45</v>
      </c>
      <c r="O23" s="7">
        <v>47</v>
      </c>
      <c r="P23" s="7">
        <v>0</v>
      </c>
      <c r="Q23" s="7">
        <v>7</v>
      </c>
      <c r="R23" s="7"/>
      <c r="S23" s="134" t="s">
        <v>214</v>
      </c>
      <c r="T23" s="7">
        <v>2576</v>
      </c>
      <c r="U23" s="7">
        <v>147</v>
      </c>
      <c r="V23" s="7"/>
      <c r="W23" s="7"/>
      <c r="X23" s="7"/>
      <c r="Y23" s="7"/>
      <c r="Z23" s="7"/>
      <c r="AA23" s="7"/>
      <c r="AB23" s="7"/>
      <c r="AC23" s="7"/>
      <c r="AD23" s="7"/>
      <c r="AE23" s="7"/>
      <c r="AF23" s="7"/>
      <c r="AG23" s="7"/>
      <c r="AH23" s="7"/>
    </row>
    <row r="24" spans="1:34" ht="15.75" customHeight="1">
      <c r="A24" s="134" t="s">
        <v>215</v>
      </c>
      <c r="B24" s="162" t="s">
        <v>58</v>
      </c>
      <c r="C24" s="134">
        <v>11</v>
      </c>
      <c r="D24" s="134">
        <v>3</v>
      </c>
      <c r="E24" s="134">
        <v>0</v>
      </c>
      <c r="F24" s="134">
        <v>22</v>
      </c>
      <c r="G24" s="134">
        <v>6</v>
      </c>
      <c r="H24" s="134">
        <v>36</v>
      </c>
      <c r="I24" s="134">
        <v>22</v>
      </c>
      <c r="J24" s="7">
        <f t="shared" si="0"/>
        <v>100</v>
      </c>
      <c r="K24" s="7"/>
      <c r="L24" s="134" t="s">
        <v>215</v>
      </c>
      <c r="M24" s="162" t="s">
        <v>58</v>
      </c>
      <c r="N24" s="7">
        <v>6</v>
      </c>
      <c r="O24" s="7">
        <v>91</v>
      </c>
      <c r="P24" s="7">
        <v>0</v>
      </c>
      <c r="Q24" s="7">
        <v>3</v>
      </c>
      <c r="R24" s="7"/>
      <c r="S24" s="134" t="s">
        <v>215</v>
      </c>
      <c r="T24" s="7">
        <v>3116</v>
      </c>
      <c r="U24" s="7">
        <v>170</v>
      </c>
      <c r="V24" s="7"/>
      <c r="W24" s="7"/>
      <c r="X24" s="7"/>
      <c r="Y24" s="7"/>
      <c r="Z24" s="7"/>
      <c r="AA24" s="7"/>
      <c r="AB24" s="7"/>
      <c r="AC24" s="7"/>
      <c r="AD24" s="7"/>
      <c r="AE24" s="7"/>
      <c r="AF24" s="7"/>
      <c r="AG24" s="7"/>
      <c r="AH24" s="7"/>
    </row>
    <row r="25" spans="1:34" ht="15.75" customHeight="1">
      <c r="A25" s="134" t="s">
        <v>216</v>
      </c>
      <c r="B25" s="162" t="s">
        <v>38</v>
      </c>
      <c r="C25" s="134">
        <v>16</v>
      </c>
      <c r="D25" s="134">
        <v>6</v>
      </c>
      <c r="E25" s="134">
        <v>0</v>
      </c>
      <c r="F25" s="134">
        <v>24</v>
      </c>
      <c r="G25" s="134">
        <v>6</v>
      </c>
      <c r="H25" s="134">
        <v>26</v>
      </c>
      <c r="I25" s="134">
        <v>23</v>
      </c>
      <c r="J25" s="7">
        <f t="shared" si="0"/>
        <v>101</v>
      </c>
      <c r="K25" s="7"/>
      <c r="L25" s="134" t="s">
        <v>216</v>
      </c>
      <c r="M25" s="162" t="s">
        <v>38</v>
      </c>
      <c r="N25" s="7">
        <v>10</v>
      </c>
      <c r="O25" s="7">
        <v>84</v>
      </c>
      <c r="P25" s="7">
        <v>0</v>
      </c>
      <c r="Q25" s="7">
        <v>6</v>
      </c>
      <c r="R25" s="7"/>
      <c r="S25" s="134" t="s">
        <v>216</v>
      </c>
      <c r="T25" s="7">
        <v>2785</v>
      </c>
      <c r="U25" s="7">
        <v>156</v>
      </c>
      <c r="V25" s="7"/>
      <c r="W25" s="7"/>
      <c r="X25" s="7"/>
      <c r="Y25" s="7"/>
      <c r="Z25" s="7"/>
      <c r="AA25" s="7"/>
      <c r="AB25" s="7"/>
      <c r="AC25" s="7"/>
      <c r="AD25" s="7"/>
      <c r="AE25" s="7"/>
      <c r="AF25" s="7"/>
      <c r="AG25" s="7"/>
      <c r="AH25" s="7"/>
    </row>
    <row r="26" spans="1:34" ht="15.75" customHeight="1">
      <c r="A26" s="134" t="s">
        <v>217</v>
      </c>
      <c r="B26" s="162" t="s">
        <v>60</v>
      </c>
      <c r="C26" s="134">
        <v>50</v>
      </c>
      <c r="D26" s="134">
        <v>0</v>
      </c>
      <c r="E26" s="134">
        <v>0</v>
      </c>
      <c r="F26" s="134">
        <v>14</v>
      </c>
      <c r="G26" s="134">
        <v>2</v>
      </c>
      <c r="H26" s="134">
        <v>23</v>
      </c>
      <c r="I26" s="134">
        <v>11</v>
      </c>
      <c r="J26" s="7">
        <f t="shared" si="0"/>
        <v>100</v>
      </c>
      <c r="K26" s="7"/>
      <c r="L26" s="134" t="s">
        <v>217</v>
      </c>
      <c r="M26" s="162" t="s">
        <v>60</v>
      </c>
      <c r="N26" s="7">
        <v>15</v>
      </c>
      <c r="O26" s="7">
        <v>28</v>
      </c>
      <c r="P26" s="7">
        <v>0</v>
      </c>
      <c r="Q26" s="7">
        <v>57</v>
      </c>
      <c r="R26" s="7"/>
      <c r="S26" s="134" t="s">
        <v>217</v>
      </c>
      <c r="T26" s="7">
        <v>2369</v>
      </c>
      <c r="U26" s="7">
        <v>140</v>
      </c>
      <c r="V26" s="7"/>
      <c r="W26" s="7"/>
      <c r="X26" s="7"/>
      <c r="Y26" s="7"/>
      <c r="Z26" s="7"/>
      <c r="AA26" s="7"/>
      <c r="AB26" s="7"/>
      <c r="AC26" s="7"/>
      <c r="AD26" s="7"/>
      <c r="AE26" s="7"/>
      <c r="AF26" s="7"/>
      <c r="AG26" s="7"/>
      <c r="AH26" s="7"/>
    </row>
    <row r="27" spans="1:34" ht="15.75" customHeight="1">
      <c r="A27" s="134" t="s">
        <v>218</v>
      </c>
      <c r="B27" s="162" t="s">
        <v>59</v>
      </c>
      <c r="C27" s="134">
        <v>29</v>
      </c>
      <c r="D27" s="134">
        <v>0</v>
      </c>
      <c r="E27" s="134">
        <v>0</v>
      </c>
      <c r="F27" s="134">
        <v>25</v>
      </c>
      <c r="G27" s="134">
        <v>2</v>
      </c>
      <c r="H27" s="134">
        <v>26</v>
      </c>
      <c r="I27" s="134">
        <v>17</v>
      </c>
      <c r="J27" s="7">
        <f t="shared" si="0"/>
        <v>99</v>
      </c>
      <c r="K27" s="7"/>
      <c r="L27" s="134" t="s">
        <v>218</v>
      </c>
      <c r="M27" s="162" t="s">
        <v>59</v>
      </c>
      <c r="N27" s="7">
        <v>14</v>
      </c>
      <c r="O27" s="7">
        <v>77</v>
      </c>
      <c r="P27" s="7">
        <v>0</v>
      </c>
      <c r="Q27" s="7">
        <v>8</v>
      </c>
      <c r="R27" s="7"/>
      <c r="S27" s="134" t="s">
        <v>218</v>
      </c>
      <c r="T27" s="7">
        <v>2159</v>
      </c>
      <c r="U27" s="7">
        <v>129</v>
      </c>
      <c r="V27" s="7"/>
      <c r="W27" s="7"/>
      <c r="X27" s="7"/>
      <c r="Y27" s="7"/>
      <c r="Z27" s="7"/>
      <c r="AA27" s="7"/>
      <c r="AB27" s="7"/>
      <c r="AC27" s="7"/>
      <c r="AD27" s="7"/>
      <c r="AE27" s="7"/>
      <c r="AF27" s="7"/>
      <c r="AG27" s="7"/>
      <c r="AH27" s="7"/>
    </row>
    <row r="28" spans="1:34" ht="15.75" customHeight="1">
      <c r="A28" s="134" t="s">
        <v>219</v>
      </c>
      <c r="B28" s="162" t="s">
        <v>61</v>
      </c>
      <c r="C28" s="134">
        <v>19</v>
      </c>
      <c r="D28" s="134">
        <v>0</v>
      </c>
      <c r="E28" s="134">
        <v>0</v>
      </c>
      <c r="F28" s="134">
        <v>21</v>
      </c>
      <c r="G28" s="134">
        <v>4</v>
      </c>
      <c r="H28" s="134">
        <v>38</v>
      </c>
      <c r="I28" s="134">
        <v>18</v>
      </c>
      <c r="J28" s="7">
        <f t="shared" si="0"/>
        <v>100</v>
      </c>
      <c r="K28" s="7"/>
      <c r="L28" s="134" t="s">
        <v>219</v>
      </c>
      <c r="M28" s="162" t="s">
        <v>61</v>
      </c>
      <c r="N28" s="7">
        <v>4</v>
      </c>
      <c r="O28" s="7">
        <v>93</v>
      </c>
      <c r="P28" s="7">
        <v>0</v>
      </c>
      <c r="Q28" s="7">
        <v>3</v>
      </c>
      <c r="R28" s="7"/>
      <c r="S28" s="134" t="s">
        <v>219</v>
      </c>
      <c r="T28" s="7">
        <v>2670</v>
      </c>
      <c r="U28" s="7">
        <v>151</v>
      </c>
      <c r="V28" s="7"/>
      <c r="W28" s="7"/>
      <c r="X28" s="7"/>
      <c r="Y28" s="7"/>
      <c r="Z28" s="7"/>
      <c r="AA28" s="7"/>
      <c r="AB28" s="7"/>
      <c r="AC28" s="7"/>
      <c r="AD28" s="7"/>
      <c r="AE28" s="7"/>
      <c r="AF28" s="7"/>
      <c r="AG28" s="7"/>
      <c r="AH28" s="7"/>
    </row>
    <row r="29" spans="1:34" ht="15.75" customHeight="1">
      <c r="A29" s="134" t="s">
        <v>220</v>
      </c>
      <c r="B29" s="162" t="s">
        <v>64</v>
      </c>
      <c r="C29" s="134">
        <v>15</v>
      </c>
      <c r="D29" s="134">
        <v>0</v>
      </c>
      <c r="E29" s="134">
        <v>0</v>
      </c>
      <c r="F29" s="134">
        <v>18</v>
      </c>
      <c r="G29" s="134">
        <v>2</v>
      </c>
      <c r="H29" s="134">
        <v>50</v>
      </c>
      <c r="I29" s="134">
        <v>15</v>
      </c>
      <c r="J29" s="7">
        <f t="shared" si="0"/>
        <v>100</v>
      </c>
      <c r="K29" s="7"/>
      <c r="L29" s="134" t="s">
        <v>220</v>
      </c>
      <c r="M29" s="162" t="s">
        <v>64</v>
      </c>
      <c r="N29" s="7">
        <v>6</v>
      </c>
      <c r="O29" s="7">
        <v>90</v>
      </c>
      <c r="P29" s="7">
        <v>0</v>
      </c>
      <c r="Q29" s="7">
        <v>4</v>
      </c>
      <c r="R29" s="7"/>
      <c r="S29" s="134" t="s">
        <v>220</v>
      </c>
      <c r="T29" s="7">
        <v>2936</v>
      </c>
      <c r="U29" s="7">
        <v>163</v>
      </c>
      <c r="V29" s="7"/>
      <c r="W29" s="7"/>
      <c r="X29" s="7"/>
      <c r="Y29" s="7"/>
      <c r="Z29" s="7"/>
      <c r="AA29" s="7"/>
      <c r="AB29" s="7"/>
      <c r="AC29" s="7"/>
      <c r="AD29" s="7"/>
      <c r="AE29" s="7"/>
      <c r="AF29" s="7"/>
      <c r="AG29" s="7"/>
      <c r="AH29" s="7"/>
    </row>
    <row r="30" spans="1:34" ht="15.75" customHeight="1">
      <c r="A30" s="134" t="s">
        <v>221</v>
      </c>
      <c r="B30" s="162" t="s">
        <v>68</v>
      </c>
      <c r="C30" s="134">
        <v>11</v>
      </c>
      <c r="D30" s="134">
        <v>0</v>
      </c>
      <c r="E30" s="134">
        <v>0</v>
      </c>
      <c r="F30" s="134">
        <v>14</v>
      </c>
      <c r="G30" s="134">
        <v>2</v>
      </c>
      <c r="H30" s="134">
        <v>61</v>
      </c>
      <c r="I30" s="134">
        <v>13</v>
      </c>
      <c r="J30" s="7">
        <f t="shared" si="0"/>
        <v>101</v>
      </c>
      <c r="K30" s="7"/>
      <c r="L30" s="134" t="s">
        <v>221</v>
      </c>
      <c r="M30" s="162" t="s">
        <v>68</v>
      </c>
      <c r="N30" s="7">
        <v>0</v>
      </c>
      <c r="O30" s="7">
        <v>99</v>
      </c>
      <c r="P30" s="7">
        <v>0</v>
      </c>
      <c r="Q30" s="7">
        <v>0</v>
      </c>
      <c r="R30" s="7"/>
      <c r="S30" s="134" t="s">
        <v>221</v>
      </c>
      <c r="T30" s="7">
        <v>2931</v>
      </c>
      <c r="U30" s="7">
        <v>162</v>
      </c>
      <c r="V30" s="7"/>
      <c r="W30" s="7"/>
      <c r="X30" s="7"/>
      <c r="Y30" s="7"/>
      <c r="Z30" s="7"/>
      <c r="AA30" s="7"/>
      <c r="AB30" s="7"/>
      <c r="AC30" s="7"/>
      <c r="AD30" s="7"/>
      <c r="AE30" s="7"/>
      <c r="AF30" s="7"/>
      <c r="AG30" s="7"/>
      <c r="AH30" s="7"/>
    </row>
    <row r="31" spans="1:34" ht="15.75" customHeight="1">
      <c r="A31" s="134" t="s">
        <v>222</v>
      </c>
      <c r="B31" s="162" t="s">
        <v>65</v>
      </c>
      <c r="C31" s="134">
        <v>21</v>
      </c>
      <c r="D31" s="134">
        <v>5</v>
      </c>
      <c r="E31" s="134">
        <v>0</v>
      </c>
      <c r="F31" s="134">
        <v>17</v>
      </c>
      <c r="G31" s="134">
        <v>5</v>
      </c>
      <c r="H31" s="134">
        <v>22</v>
      </c>
      <c r="I31" s="134">
        <v>31</v>
      </c>
      <c r="J31" s="7">
        <f t="shared" si="0"/>
        <v>101</v>
      </c>
      <c r="K31" s="7"/>
      <c r="L31" s="134" t="s">
        <v>222</v>
      </c>
      <c r="M31" s="162" t="s">
        <v>65</v>
      </c>
      <c r="N31" s="7">
        <v>44</v>
      </c>
      <c r="O31" s="7">
        <v>49</v>
      </c>
      <c r="P31" s="7">
        <v>0</v>
      </c>
      <c r="Q31" s="7">
        <v>7</v>
      </c>
      <c r="R31" s="7"/>
      <c r="S31" s="134" t="s">
        <v>222</v>
      </c>
      <c r="T31" s="7">
        <v>2678</v>
      </c>
      <c r="U31" s="7">
        <v>152</v>
      </c>
      <c r="V31" s="7"/>
      <c r="W31" s="7"/>
      <c r="X31" s="7"/>
      <c r="Y31" s="7"/>
      <c r="Z31" s="7"/>
      <c r="AA31" s="7"/>
      <c r="AB31" s="7"/>
      <c r="AC31" s="7"/>
      <c r="AD31" s="7"/>
      <c r="AE31" s="7"/>
      <c r="AF31" s="7"/>
      <c r="AG31" s="7"/>
      <c r="AH31" s="7"/>
    </row>
    <row r="32" spans="1:34" ht="15.75" customHeight="1">
      <c r="A32" s="134" t="s">
        <v>223</v>
      </c>
      <c r="B32" s="162" t="s">
        <v>66</v>
      </c>
      <c r="C32" s="134">
        <v>27</v>
      </c>
      <c r="D32" s="134">
        <v>5</v>
      </c>
      <c r="E32" s="134">
        <v>0</v>
      </c>
      <c r="F32" s="134">
        <v>16</v>
      </c>
      <c r="G32" s="134">
        <v>6</v>
      </c>
      <c r="H32" s="134">
        <v>16</v>
      </c>
      <c r="I32" s="134">
        <v>29</v>
      </c>
      <c r="J32" s="7">
        <f t="shared" si="0"/>
        <v>99</v>
      </c>
      <c r="K32" s="7"/>
      <c r="L32" s="134" t="s">
        <v>223</v>
      </c>
      <c r="M32" s="162" t="s">
        <v>66</v>
      </c>
      <c r="N32" s="7">
        <v>45</v>
      </c>
      <c r="O32" s="7">
        <v>47</v>
      </c>
      <c r="P32" s="7">
        <v>0</v>
      </c>
      <c r="Q32" s="7">
        <v>8</v>
      </c>
      <c r="R32" s="7"/>
      <c r="S32" s="134" t="s">
        <v>223</v>
      </c>
      <c r="T32" s="7">
        <v>2569</v>
      </c>
      <c r="U32" s="7">
        <v>147</v>
      </c>
      <c r="V32" s="7"/>
      <c r="W32" s="7"/>
      <c r="X32" s="7"/>
      <c r="Y32" s="7"/>
      <c r="Z32" s="7"/>
      <c r="AA32" s="7"/>
      <c r="AB32" s="7"/>
      <c r="AC32" s="7"/>
      <c r="AD32" s="7"/>
      <c r="AE32" s="7"/>
      <c r="AF32" s="7"/>
      <c r="AG32" s="7"/>
      <c r="AH32" s="7"/>
    </row>
    <row r="33" spans="1:34" ht="15.75" customHeight="1">
      <c r="A33" s="134" t="s">
        <v>224</v>
      </c>
      <c r="B33" s="162" t="s">
        <v>67</v>
      </c>
      <c r="C33" s="134">
        <v>10</v>
      </c>
      <c r="D33" s="134">
        <v>0</v>
      </c>
      <c r="E33" s="134">
        <v>11</v>
      </c>
      <c r="F33" s="134">
        <v>42</v>
      </c>
      <c r="G33" s="134">
        <v>6</v>
      </c>
      <c r="H33" s="134">
        <v>30</v>
      </c>
      <c r="I33" s="134">
        <v>2</v>
      </c>
      <c r="J33" s="7">
        <f t="shared" si="0"/>
        <v>101</v>
      </c>
      <c r="K33" s="7"/>
      <c r="L33" s="134" t="s">
        <v>224</v>
      </c>
      <c r="M33" s="162" t="s">
        <v>67</v>
      </c>
      <c r="N33" s="7">
        <v>10</v>
      </c>
      <c r="O33" s="7">
        <v>90</v>
      </c>
      <c r="P33" s="7">
        <v>0</v>
      </c>
      <c r="Q33" s="7">
        <v>0</v>
      </c>
      <c r="R33" s="7"/>
      <c r="S33" s="134" t="s">
        <v>224</v>
      </c>
      <c r="T33" s="7">
        <v>2937</v>
      </c>
      <c r="U33" s="7">
        <v>163</v>
      </c>
      <c r="V33" s="7"/>
      <c r="W33" s="7"/>
      <c r="X33" s="7"/>
      <c r="Y33" s="7"/>
      <c r="Z33" s="7"/>
      <c r="AA33" s="7"/>
      <c r="AB33" s="7"/>
      <c r="AC33" s="7"/>
      <c r="AD33" s="7"/>
      <c r="AE33" s="7"/>
      <c r="AF33" s="7"/>
      <c r="AG33" s="7"/>
      <c r="AH33" s="7"/>
    </row>
    <row r="34" spans="1:34" ht="15.75" customHeight="1">
      <c r="A34" s="134" t="s">
        <v>225</v>
      </c>
      <c r="B34" s="162" t="s">
        <v>39</v>
      </c>
      <c r="C34" s="134">
        <v>14</v>
      </c>
      <c r="D34" s="134">
        <v>3</v>
      </c>
      <c r="E34" s="134">
        <v>0</v>
      </c>
      <c r="F34" s="134">
        <v>15</v>
      </c>
      <c r="G34" s="134">
        <v>5</v>
      </c>
      <c r="H34" s="134">
        <v>38</v>
      </c>
      <c r="I34" s="134">
        <v>25</v>
      </c>
      <c r="J34" s="7">
        <f t="shared" si="0"/>
        <v>100</v>
      </c>
      <c r="K34" s="7"/>
      <c r="L34" s="134" t="s">
        <v>225</v>
      </c>
      <c r="M34" s="162" t="s">
        <v>39</v>
      </c>
      <c r="N34" s="7">
        <v>45</v>
      </c>
      <c r="O34" s="7">
        <v>48</v>
      </c>
      <c r="P34" s="7">
        <v>0</v>
      </c>
      <c r="Q34" s="7">
        <v>7</v>
      </c>
      <c r="R34" s="7"/>
      <c r="S34" s="134" t="s">
        <v>225</v>
      </c>
      <c r="T34" s="7">
        <v>2918</v>
      </c>
      <c r="U34" s="7">
        <v>162</v>
      </c>
      <c r="V34" s="7"/>
      <c r="W34" s="7"/>
      <c r="X34" s="7"/>
      <c r="Y34" s="7"/>
      <c r="Z34" s="7"/>
      <c r="AA34" s="7"/>
      <c r="AB34" s="7"/>
      <c r="AC34" s="7"/>
      <c r="AD34" s="7"/>
      <c r="AE34" s="7"/>
      <c r="AF34" s="7"/>
      <c r="AG34" s="7"/>
      <c r="AH34" s="7"/>
    </row>
    <row r="35" spans="1:34" ht="15.75" customHeight="1">
      <c r="A35" s="134" t="s">
        <v>226</v>
      </c>
      <c r="B35" s="162" t="s">
        <v>62</v>
      </c>
      <c r="C35" s="134">
        <v>48</v>
      </c>
      <c r="D35" s="134">
        <v>0</v>
      </c>
      <c r="E35" s="134">
        <v>0</v>
      </c>
      <c r="F35" s="134">
        <v>10</v>
      </c>
      <c r="G35" s="134">
        <v>2</v>
      </c>
      <c r="H35" s="134">
        <v>31</v>
      </c>
      <c r="I35" s="134">
        <v>9</v>
      </c>
      <c r="J35" s="7">
        <f t="shared" si="0"/>
        <v>100</v>
      </c>
      <c r="K35" s="7"/>
      <c r="L35" s="134" t="s">
        <v>226</v>
      </c>
      <c r="M35" s="162" t="s">
        <v>62</v>
      </c>
      <c r="N35" s="7">
        <v>15</v>
      </c>
      <c r="O35" s="7">
        <v>31</v>
      </c>
      <c r="P35" s="7">
        <v>0</v>
      </c>
      <c r="Q35" s="7">
        <v>54</v>
      </c>
      <c r="R35" s="7"/>
      <c r="S35" s="134" t="s">
        <v>226</v>
      </c>
      <c r="T35" s="7">
        <v>2774</v>
      </c>
      <c r="U35" s="7">
        <v>158</v>
      </c>
      <c r="V35" s="7"/>
      <c r="W35" s="7"/>
      <c r="X35" s="7"/>
      <c r="Y35" s="7"/>
      <c r="Z35" s="7"/>
      <c r="AA35" s="7"/>
      <c r="AB35" s="7"/>
      <c r="AC35" s="7"/>
      <c r="AD35" s="7"/>
      <c r="AE35" s="7"/>
      <c r="AF35" s="7"/>
      <c r="AG35" s="7"/>
      <c r="AH35" s="7"/>
    </row>
    <row r="36" spans="1:34" ht="15.75" customHeight="1">
      <c r="A36" s="134" t="s">
        <v>227</v>
      </c>
      <c r="B36" s="162" t="s">
        <v>63</v>
      </c>
      <c r="C36" s="134">
        <v>18</v>
      </c>
      <c r="D36" s="134">
        <v>0</v>
      </c>
      <c r="E36" s="134">
        <v>0</v>
      </c>
      <c r="F36" s="134">
        <v>19</v>
      </c>
      <c r="G36" s="134">
        <v>3</v>
      </c>
      <c r="H36" s="134">
        <v>44</v>
      </c>
      <c r="I36" s="134">
        <v>16</v>
      </c>
      <c r="J36" s="7">
        <f t="shared" si="0"/>
        <v>100</v>
      </c>
      <c r="K36" s="7"/>
      <c r="L36" s="134" t="s">
        <v>227</v>
      </c>
      <c r="M36" s="162" t="s">
        <v>63</v>
      </c>
      <c r="N36" s="7">
        <v>11</v>
      </c>
      <c r="O36" s="7">
        <v>83</v>
      </c>
      <c r="P36" s="7">
        <v>0</v>
      </c>
      <c r="Q36" s="7">
        <v>6</v>
      </c>
      <c r="R36" s="7"/>
      <c r="S36" s="134" t="s">
        <v>227</v>
      </c>
      <c r="T36" s="7">
        <v>2722</v>
      </c>
      <c r="U36" s="7">
        <v>153</v>
      </c>
      <c r="V36" s="7"/>
      <c r="W36" s="7"/>
      <c r="X36" s="7"/>
      <c r="Y36" s="7"/>
      <c r="Z36" s="7"/>
      <c r="AA36" s="7"/>
      <c r="AB36" s="7"/>
      <c r="AC36" s="7"/>
      <c r="AD36" s="7"/>
      <c r="AE36" s="7"/>
      <c r="AF36" s="7"/>
      <c r="AG36" s="7"/>
      <c r="AH36" s="7"/>
    </row>
    <row r="37" spans="1:34" ht="15.75" customHeight="1">
      <c r="A37" s="134" t="s">
        <v>228</v>
      </c>
      <c r="B37" s="162" t="s">
        <v>69</v>
      </c>
      <c r="C37" s="134">
        <v>24</v>
      </c>
      <c r="D37" s="134">
        <v>0</v>
      </c>
      <c r="E37" s="134">
        <v>0</v>
      </c>
      <c r="F37" s="134">
        <v>23</v>
      </c>
      <c r="G37" s="134">
        <v>2</v>
      </c>
      <c r="H37" s="134">
        <v>35</v>
      </c>
      <c r="I37" s="134">
        <v>17</v>
      </c>
      <c r="J37" s="7">
        <f t="shared" si="0"/>
        <v>101</v>
      </c>
      <c r="K37" s="7"/>
      <c r="L37" s="134" t="s">
        <v>228</v>
      </c>
      <c r="M37" s="162" t="s">
        <v>69</v>
      </c>
      <c r="N37" s="7">
        <v>14</v>
      </c>
      <c r="O37" s="7">
        <v>78</v>
      </c>
      <c r="P37" s="7">
        <v>0</v>
      </c>
      <c r="Q37" s="7">
        <v>8</v>
      </c>
      <c r="R37" s="7"/>
      <c r="S37" s="134" t="s">
        <v>228</v>
      </c>
      <c r="T37" s="7">
        <v>2741</v>
      </c>
      <c r="U37" s="7">
        <v>154</v>
      </c>
      <c r="V37" s="7"/>
      <c r="W37" s="7"/>
      <c r="X37" s="7"/>
      <c r="Y37" s="7"/>
      <c r="Z37" s="7"/>
      <c r="AA37" s="7"/>
      <c r="AB37" s="7"/>
      <c r="AC37" s="7"/>
      <c r="AD37" s="7"/>
      <c r="AE37" s="7"/>
      <c r="AF37" s="7"/>
      <c r="AG37" s="7"/>
      <c r="AH37" s="7"/>
    </row>
    <row r="38" spans="1:34" ht="15.75" customHeight="1">
      <c r="A38" s="134" t="s">
        <v>229</v>
      </c>
      <c r="B38" s="162" t="s">
        <v>70</v>
      </c>
      <c r="C38" s="134">
        <v>11</v>
      </c>
      <c r="D38" s="134">
        <v>0</v>
      </c>
      <c r="E38" s="134">
        <v>8</v>
      </c>
      <c r="F38" s="134">
        <v>41</v>
      </c>
      <c r="G38" s="134">
        <v>5</v>
      </c>
      <c r="H38" s="134">
        <v>23</v>
      </c>
      <c r="I38" s="134">
        <v>12</v>
      </c>
      <c r="J38" s="7">
        <f t="shared" si="0"/>
        <v>100</v>
      </c>
      <c r="K38" s="7"/>
      <c r="L38" s="134" t="s">
        <v>229</v>
      </c>
      <c r="M38" s="162" t="s">
        <v>70</v>
      </c>
      <c r="N38" s="7">
        <v>6</v>
      </c>
      <c r="O38" s="7">
        <v>94</v>
      </c>
      <c r="P38" s="7">
        <v>0</v>
      </c>
      <c r="Q38" s="7">
        <v>0</v>
      </c>
      <c r="R38" s="7"/>
      <c r="S38" s="134" t="s">
        <v>229</v>
      </c>
      <c r="T38" s="7">
        <v>2399</v>
      </c>
      <c r="U38" s="7">
        <v>140</v>
      </c>
      <c r="V38" s="7"/>
      <c r="W38" s="7"/>
      <c r="X38" s="7"/>
      <c r="Y38" s="7"/>
      <c r="Z38" s="7"/>
      <c r="AA38" s="7"/>
      <c r="AB38" s="7"/>
      <c r="AC38" s="7"/>
      <c r="AD38" s="7"/>
      <c r="AE38" s="7"/>
      <c r="AF38" s="7"/>
      <c r="AG38" s="7"/>
      <c r="AH38" s="7"/>
    </row>
    <row r="39" spans="1:34" ht="15.75" customHeight="1">
      <c r="A39" s="134" t="s">
        <v>230</v>
      </c>
      <c r="B39" s="162" t="s">
        <v>71</v>
      </c>
      <c r="C39" s="134">
        <v>9</v>
      </c>
      <c r="D39" s="134">
        <v>0</v>
      </c>
      <c r="E39" s="134">
        <v>3</v>
      </c>
      <c r="F39" s="134">
        <v>24</v>
      </c>
      <c r="G39" s="134">
        <v>4</v>
      </c>
      <c r="H39" s="134">
        <v>50</v>
      </c>
      <c r="I39" s="134">
        <v>11</v>
      </c>
      <c r="J39" s="7">
        <f t="shared" si="0"/>
        <v>101</v>
      </c>
      <c r="K39" s="7"/>
      <c r="L39" s="134" t="s">
        <v>230</v>
      </c>
      <c r="M39" s="162" t="s">
        <v>71</v>
      </c>
      <c r="N39" s="7">
        <v>0</v>
      </c>
      <c r="O39" s="7">
        <v>80</v>
      </c>
      <c r="P39" s="7">
        <v>1</v>
      </c>
      <c r="Q39" s="7">
        <v>20</v>
      </c>
      <c r="R39" s="7"/>
      <c r="S39" s="134" t="s">
        <v>230</v>
      </c>
      <c r="T39" s="7">
        <v>2660</v>
      </c>
      <c r="U39" s="7">
        <v>151</v>
      </c>
      <c r="V39" s="7"/>
      <c r="W39" s="7"/>
      <c r="X39" s="7"/>
      <c r="Y39" s="7"/>
      <c r="Z39" s="7"/>
      <c r="AA39" s="7"/>
      <c r="AB39" s="7"/>
      <c r="AC39" s="7"/>
      <c r="AD39" s="7"/>
      <c r="AE39" s="7"/>
      <c r="AF39" s="7"/>
      <c r="AG39" s="7"/>
      <c r="AH39" s="7"/>
    </row>
    <row r="40" spans="1:34" ht="15.75" customHeight="1">
      <c r="A40" s="134" t="s">
        <v>231</v>
      </c>
      <c r="B40" s="162" t="s">
        <v>72</v>
      </c>
      <c r="C40" s="134">
        <v>27</v>
      </c>
      <c r="D40" s="134">
        <v>6</v>
      </c>
      <c r="E40" s="134">
        <v>0</v>
      </c>
      <c r="F40" s="134">
        <v>16</v>
      </c>
      <c r="G40" s="134">
        <v>5</v>
      </c>
      <c r="H40" s="134">
        <v>18</v>
      </c>
      <c r="I40" s="134">
        <v>29</v>
      </c>
      <c r="J40" s="7">
        <f t="shared" si="0"/>
        <v>101</v>
      </c>
      <c r="K40" s="7"/>
      <c r="L40" s="134" t="s">
        <v>231</v>
      </c>
      <c r="M40" s="162" t="s">
        <v>72</v>
      </c>
      <c r="N40" s="7">
        <v>47</v>
      </c>
      <c r="O40" s="7">
        <v>44</v>
      </c>
      <c r="P40" s="7">
        <v>0</v>
      </c>
      <c r="Q40" s="7">
        <v>9</v>
      </c>
      <c r="R40" s="7"/>
      <c r="S40" s="134" t="s">
        <v>231</v>
      </c>
      <c r="T40" s="7">
        <v>2682</v>
      </c>
      <c r="U40" s="7">
        <v>152</v>
      </c>
      <c r="V40" s="7"/>
      <c r="W40" s="7"/>
      <c r="X40" s="7"/>
      <c r="Y40" s="7"/>
      <c r="Z40" s="7"/>
      <c r="AA40" s="7"/>
      <c r="AB40" s="7"/>
      <c r="AC40" s="7"/>
      <c r="AD40" s="7"/>
      <c r="AE40" s="7"/>
      <c r="AF40" s="7"/>
      <c r="AG40" s="7"/>
      <c r="AH40" s="7"/>
    </row>
    <row r="41" spans="1:34" ht="15.75" customHeight="1">
      <c r="A41" s="134" t="s">
        <v>232</v>
      </c>
      <c r="B41" s="162" t="s">
        <v>73</v>
      </c>
      <c r="C41" s="134">
        <v>29</v>
      </c>
      <c r="D41" s="134">
        <v>6</v>
      </c>
      <c r="E41" s="134">
        <v>0</v>
      </c>
      <c r="F41" s="134">
        <v>17</v>
      </c>
      <c r="G41" s="134">
        <v>5</v>
      </c>
      <c r="H41" s="134">
        <v>14</v>
      </c>
      <c r="I41" s="134">
        <v>30</v>
      </c>
      <c r="J41" s="7">
        <f t="shared" si="0"/>
        <v>101</v>
      </c>
      <c r="K41" s="7"/>
      <c r="L41" s="134" t="s">
        <v>232</v>
      </c>
      <c r="M41" s="162" t="s">
        <v>73</v>
      </c>
      <c r="N41" s="7">
        <v>47</v>
      </c>
      <c r="O41" s="7">
        <v>44</v>
      </c>
      <c r="P41" s="7">
        <v>0</v>
      </c>
      <c r="Q41" s="7">
        <v>9</v>
      </c>
      <c r="R41" s="7"/>
      <c r="S41" s="134" t="s">
        <v>232</v>
      </c>
      <c r="T41" s="7">
        <v>2717</v>
      </c>
      <c r="U41" s="7">
        <v>153</v>
      </c>
      <c r="V41" s="7"/>
      <c r="W41" s="7"/>
      <c r="X41" s="7"/>
      <c r="Y41" s="7"/>
      <c r="Z41" s="7"/>
      <c r="AA41" s="7"/>
      <c r="AB41" s="7"/>
      <c r="AC41" s="7"/>
      <c r="AD41" s="7"/>
      <c r="AE41" s="7"/>
      <c r="AF41" s="7"/>
      <c r="AG41" s="7"/>
      <c r="AH41" s="7"/>
    </row>
    <row r="42" spans="1:34" ht="15.75" customHeight="1">
      <c r="A42" s="134" t="s">
        <v>233</v>
      </c>
      <c r="B42" s="162" t="s">
        <v>74</v>
      </c>
      <c r="C42" s="134">
        <v>45</v>
      </c>
      <c r="D42" s="134">
        <v>0</v>
      </c>
      <c r="E42" s="134">
        <v>0</v>
      </c>
      <c r="F42" s="134">
        <v>10</v>
      </c>
      <c r="G42" s="134">
        <v>2</v>
      </c>
      <c r="H42" s="134">
        <v>33</v>
      </c>
      <c r="I42" s="134">
        <v>11</v>
      </c>
      <c r="J42" s="7">
        <f t="shared" si="0"/>
        <v>101</v>
      </c>
      <c r="K42" s="7"/>
      <c r="L42" s="134" t="s">
        <v>233</v>
      </c>
      <c r="M42" s="162" t="s">
        <v>74</v>
      </c>
      <c r="N42" s="7">
        <v>15</v>
      </c>
      <c r="O42" s="7">
        <v>31</v>
      </c>
      <c r="P42" s="7">
        <v>0</v>
      </c>
      <c r="Q42" s="7">
        <v>54</v>
      </c>
      <c r="R42" s="7"/>
      <c r="S42" s="134" t="s">
        <v>233</v>
      </c>
      <c r="T42" s="7">
        <v>2557</v>
      </c>
      <c r="U42" s="7">
        <v>148</v>
      </c>
      <c r="V42" s="7"/>
      <c r="W42" s="7"/>
      <c r="X42" s="7"/>
      <c r="Y42" s="7"/>
      <c r="Z42" s="7"/>
      <c r="AA42" s="7"/>
      <c r="AB42" s="7"/>
      <c r="AC42" s="7"/>
      <c r="AD42" s="7"/>
      <c r="AE42" s="7"/>
      <c r="AF42" s="7"/>
      <c r="AG42" s="7"/>
      <c r="AH42" s="7"/>
    </row>
    <row r="43" spans="1:34" ht="15.75" customHeight="1">
      <c r="A43" s="134" t="s">
        <v>234</v>
      </c>
      <c r="B43" s="162" t="s">
        <v>75</v>
      </c>
      <c r="C43" s="134">
        <v>14</v>
      </c>
      <c r="D43" s="134">
        <v>0</v>
      </c>
      <c r="E43" s="134">
        <v>0</v>
      </c>
      <c r="F43" s="134">
        <v>16</v>
      </c>
      <c r="G43" s="134">
        <v>2</v>
      </c>
      <c r="H43" s="134">
        <v>54</v>
      </c>
      <c r="I43" s="134">
        <v>14</v>
      </c>
      <c r="J43" s="7">
        <f t="shared" si="0"/>
        <v>100</v>
      </c>
      <c r="K43" s="7"/>
      <c r="L43" s="134" t="s">
        <v>234</v>
      </c>
      <c r="M43" s="162" t="s">
        <v>75</v>
      </c>
      <c r="N43" s="7">
        <v>8</v>
      </c>
      <c r="O43" s="7">
        <v>87</v>
      </c>
      <c r="P43" s="7">
        <v>0</v>
      </c>
      <c r="Q43" s="7">
        <v>5</v>
      </c>
      <c r="R43" s="7"/>
      <c r="S43" s="134" t="s">
        <v>234</v>
      </c>
      <c r="T43" s="7">
        <v>2815</v>
      </c>
      <c r="U43" s="7">
        <v>157</v>
      </c>
      <c r="V43" s="7"/>
      <c r="W43" s="7"/>
      <c r="X43" s="7"/>
      <c r="Y43" s="7"/>
      <c r="Z43" s="7"/>
      <c r="AA43" s="7"/>
      <c r="AB43" s="7"/>
      <c r="AC43" s="7"/>
      <c r="AD43" s="7"/>
      <c r="AE43" s="7"/>
      <c r="AF43" s="7"/>
      <c r="AG43" s="7"/>
      <c r="AH43" s="7"/>
    </row>
    <row r="44" spans="1:34" ht="15.75" customHeight="1">
      <c r="A44" s="134" t="s">
        <v>235</v>
      </c>
      <c r="B44" s="162" t="s">
        <v>76</v>
      </c>
      <c r="C44" s="134">
        <v>48</v>
      </c>
      <c r="D44" s="134">
        <v>0</v>
      </c>
      <c r="E44" s="134">
        <v>0</v>
      </c>
      <c r="F44" s="134">
        <v>12</v>
      </c>
      <c r="G44" s="134">
        <v>2</v>
      </c>
      <c r="H44" s="134">
        <v>26</v>
      </c>
      <c r="I44" s="134">
        <v>11</v>
      </c>
      <c r="J44" s="7">
        <f t="shared" si="0"/>
        <v>99</v>
      </c>
      <c r="K44" s="7"/>
      <c r="L44" s="134" t="s">
        <v>235</v>
      </c>
      <c r="M44" s="162" t="s">
        <v>76</v>
      </c>
      <c r="N44" s="7">
        <v>15</v>
      </c>
      <c r="O44" s="7">
        <v>26</v>
      </c>
      <c r="P44" s="7">
        <v>0</v>
      </c>
      <c r="Q44" s="7">
        <v>59</v>
      </c>
      <c r="R44" s="7"/>
      <c r="S44" s="134" t="s">
        <v>235</v>
      </c>
      <c r="T44" s="7">
        <v>2495</v>
      </c>
      <c r="U44" s="7">
        <v>146</v>
      </c>
      <c r="V44" s="7"/>
      <c r="W44" s="7"/>
      <c r="X44" s="7"/>
      <c r="Y44" s="7"/>
      <c r="Z44" s="7"/>
      <c r="AA44" s="7"/>
      <c r="AB44" s="7"/>
      <c r="AC44" s="7"/>
      <c r="AD44" s="7"/>
      <c r="AE44" s="7"/>
      <c r="AF44" s="7"/>
      <c r="AG44" s="7"/>
      <c r="AH44" s="7"/>
    </row>
    <row r="45" spans="1:34" ht="15.75" customHeight="1">
      <c r="A45" s="134" t="s">
        <v>236</v>
      </c>
      <c r="B45" s="162" t="s">
        <v>77</v>
      </c>
      <c r="C45" s="134">
        <v>11</v>
      </c>
      <c r="D45" s="134">
        <v>0</v>
      </c>
      <c r="E45" s="134">
        <v>10</v>
      </c>
      <c r="F45" s="134">
        <v>41</v>
      </c>
      <c r="G45" s="134">
        <v>5</v>
      </c>
      <c r="H45" s="134">
        <v>30</v>
      </c>
      <c r="I45" s="134">
        <v>3</v>
      </c>
      <c r="J45" s="7">
        <f t="shared" si="0"/>
        <v>100</v>
      </c>
      <c r="K45" s="7"/>
      <c r="L45" s="134" t="s">
        <v>236</v>
      </c>
      <c r="M45" s="162" t="s">
        <v>77</v>
      </c>
      <c r="N45" s="7">
        <v>8</v>
      </c>
      <c r="O45" s="7">
        <v>92</v>
      </c>
      <c r="P45" s="7">
        <v>0</v>
      </c>
      <c r="Q45" s="7">
        <v>0</v>
      </c>
      <c r="R45" s="7"/>
      <c r="S45" s="134" t="s">
        <v>236</v>
      </c>
      <c r="T45" s="7">
        <v>2954</v>
      </c>
      <c r="U45" s="7">
        <v>164</v>
      </c>
      <c r="V45" s="7"/>
      <c r="W45" s="7"/>
      <c r="X45" s="7"/>
      <c r="Y45" s="7"/>
      <c r="Z45" s="7"/>
      <c r="AA45" s="7"/>
      <c r="AB45" s="7"/>
      <c r="AC45" s="7"/>
      <c r="AD45" s="7"/>
      <c r="AE45" s="7"/>
      <c r="AF45" s="7"/>
      <c r="AG45" s="7"/>
      <c r="AH45" s="7"/>
    </row>
    <row r="46" spans="1:34" ht="15.75" customHeight="1">
      <c r="A46" s="134" t="s">
        <v>237</v>
      </c>
      <c r="B46" s="162" t="s">
        <v>78</v>
      </c>
      <c r="C46" s="134">
        <v>12</v>
      </c>
      <c r="D46" s="134">
        <v>0</v>
      </c>
      <c r="E46" s="134">
        <v>9</v>
      </c>
      <c r="F46" s="134">
        <v>40</v>
      </c>
      <c r="G46" s="134">
        <v>5</v>
      </c>
      <c r="H46" s="134">
        <v>28</v>
      </c>
      <c r="I46" s="134">
        <v>7</v>
      </c>
      <c r="J46" s="7">
        <f t="shared" si="0"/>
        <v>101</v>
      </c>
      <c r="K46" s="7"/>
      <c r="L46" s="134" t="s">
        <v>237</v>
      </c>
      <c r="M46" s="162" t="s">
        <v>78</v>
      </c>
      <c r="N46" s="7">
        <v>1</v>
      </c>
      <c r="O46" s="7">
        <v>98</v>
      </c>
      <c r="P46" s="7">
        <v>0</v>
      </c>
      <c r="Q46" s="7">
        <v>1</v>
      </c>
      <c r="R46" s="7"/>
      <c r="S46" s="134" t="s">
        <v>237</v>
      </c>
      <c r="T46" s="7">
        <v>2821</v>
      </c>
      <c r="U46" s="7">
        <v>158</v>
      </c>
      <c r="V46" s="7"/>
      <c r="W46" s="7"/>
      <c r="X46" s="7"/>
      <c r="Y46" s="7"/>
      <c r="Z46" s="7"/>
      <c r="AA46" s="7"/>
      <c r="AB46" s="7"/>
      <c r="AC46" s="7"/>
      <c r="AD46" s="7"/>
      <c r="AE46" s="7"/>
      <c r="AF46" s="7"/>
      <c r="AG46" s="7"/>
      <c r="AH46" s="7"/>
    </row>
    <row r="47" spans="1:34" ht="15.75" customHeight="1">
      <c r="A47" s="134" t="s">
        <v>238</v>
      </c>
      <c r="B47" s="162" t="s">
        <v>80</v>
      </c>
      <c r="C47" s="134">
        <v>14</v>
      </c>
      <c r="D47" s="134">
        <v>3</v>
      </c>
      <c r="E47" s="134">
        <v>0</v>
      </c>
      <c r="F47" s="134">
        <v>16</v>
      </c>
      <c r="G47" s="134">
        <v>5</v>
      </c>
      <c r="H47" s="134">
        <v>36</v>
      </c>
      <c r="I47" s="134">
        <v>26</v>
      </c>
      <c r="J47" s="7">
        <f t="shared" si="0"/>
        <v>100</v>
      </c>
      <c r="K47" s="7"/>
      <c r="L47" s="134" t="s">
        <v>238</v>
      </c>
      <c r="M47" s="162" t="s">
        <v>80</v>
      </c>
      <c r="N47" s="7">
        <v>44</v>
      </c>
      <c r="O47" s="7">
        <v>49</v>
      </c>
      <c r="P47" s="7">
        <v>0</v>
      </c>
      <c r="Q47" s="7">
        <v>7</v>
      </c>
      <c r="R47" s="7"/>
      <c r="S47" s="134" t="s">
        <v>238</v>
      </c>
      <c r="T47" s="7">
        <v>2682</v>
      </c>
      <c r="U47" s="7">
        <v>152</v>
      </c>
      <c r="V47" s="7"/>
      <c r="W47" s="7"/>
      <c r="X47" s="7"/>
      <c r="Y47" s="7"/>
      <c r="Z47" s="7"/>
      <c r="AA47" s="7"/>
      <c r="AB47" s="7"/>
      <c r="AC47" s="7"/>
      <c r="AD47" s="7"/>
      <c r="AE47" s="7"/>
      <c r="AF47" s="7"/>
      <c r="AG47" s="7"/>
      <c r="AH47" s="7"/>
    </row>
    <row r="48" spans="1:34" ht="15.75" customHeight="1">
      <c r="A48" s="134" t="s">
        <v>239</v>
      </c>
      <c r="B48" s="162" t="s">
        <v>79</v>
      </c>
      <c r="C48" s="134">
        <v>49</v>
      </c>
      <c r="D48" s="134">
        <v>0</v>
      </c>
      <c r="E48" s="134">
        <v>0</v>
      </c>
      <c r="F48" s="134">
        <v>12</v>
      </c>
      <c r="G48" s="134">
        <v>2</v>
      </c>
      <c r="H48" s="134">
        <v>26</v>
      </c>
      <c r="I48" s="134">
        <v>11</v>
      </c>
      <c r="J48" s="7">
        <f t="shared" si="0"/>
        <v>100</v>
      </c>
      <c r="K48" s="7"/>
      <c r="L48" s="134" t="s">
        <v>239</v>
      </c>
      <c r="M48" s="162" t="s">
        <v>79</v>
      </c>
      <c r="N48" s="7">
        <v>15</v>
      </c>
      <c r="O48" s="7">
        <v>28</v>
      </c>
      <c r="P48" s="7">
        <v>0</v>
      </c>
      <c r="Q48" s="7">
        <v>57</v>
      </c>
      <c r="R48" s="7"/>
      <c r="S48" s="134" t="s">
        <v>239</v>
      </c>
      <c r="T48" s="7">
        <v>2660</v>
      </c>
      <c r="U48" s="7">
        <v>153</v>
      </c>
      <c r="V48" s="7"/>
      <c r="W48" s="7"/>
      <c r="X48" s="7"/>
      <c r="Y48" s="7"/>
      <c r="Z48" s="7"/>
      <c r="AA48" s="7"/>
      <c r="AB48" s="7"/>
      <c r="AC48" s="7"/>
      <c r="AD48" s="7"/>
      <c r="AE48" s="7"/>
      <c r="AF48" s="7"/>
      <c r="AG48" s="7"/>
      <c r="AH48" s="7"/>
    </row>
    <row r="49" spans="1:34" ht="15.75" customHeight="1">
      <c r="A49" s="134" t="s">
        <v>240</v>
      </c>
      <c r="B49" s="162" t="s">
        <v>81</v>
      </c>
      <c r="C49" s="134">
        <v>8</v>
      </c>
      <c r="D49" s="134">
        <v>0</v>
      </c>
      <c r="E49" s="134">
        <v>3</v>
      </c>
      <c r="F49" s="134">
        <v>25</v>
      </c>
      <c r="G49" s="134">
        <v>3</v>
      </c>
      <c r="H49" s="134">
        <v>51</v>
      </c>
      <c r="I49" s="134">
        <v>10</v>
      </c>
      <c r="J49" s="7">
        <f t="shared" si="0"/>
        <v>100</v>
      </c>
      <c r="K49" s="7"/>
      <c r="L49" s="134" t="s">
        <v>240</v>
      </c>
      <c r="M49" s="162" t="s">
        <v>81</v>
      </c>
      <c r="N49" s="7">
        <v>0</v>
      </c>
      <c r="O49" s="7">
        <v>83</v>
      </c>
      <c r="P49" s="7">
        <v>1</v>
      </c>
      <c r="Q49" s="7">
        <v>17</v>
      </c>
      <c r="R49" s="7"/>
      <c r="S49" s="134" t="s">
        <v>240</v>
      </c>
      <c r="T49" s="7">
        <v>2907</v>
      </c>
      <c r="U49" s="7">
        <v>161</v>
      </c>
      <c r="V49" s="7"/>
      <c r="W49" s="7"/>
      <c r="X49" s="7"/>
      <c r="Y49" s="7"/>
      <c r="Z49" s="7"/>
      <c r="AA49" s="7"/>
      <c r="AB49" s="7"/>
      <c r="AC49" s="7"/>
      <c r="AD49" s="7"/>
      <c r="AE49" s="7"/>
      <c r="AF49" s="7"/>
      <c r="AG49" s="7"/>
      <c r="AH49" s="7"/>
    </row>
    <row r="50" spans="1:34" ht="15.75" customHeight="1">
      <c r="A50" s="134" t="s">
        <v>241</v>
      </c>
      <c r="B50" s="162" t="s">
        <v>83</v>
      </c>
      <c r="C50" s="134">
        <v>29</v>
      </c>
      <c r="D50" s="134">
        <v>6</v>
      </c>
      <c r="E50" s="134">
        <v>0</v>
      </c>
      <c r="F50" s="134">
        <v>17</v>
      </c>
      <c r="G50" s="134">
        <v>5</v>
      </c>
      <c r="H50" s="134">
        <v>13</v>
      </c>
      <c r="I50" s="134">
        <v>30</v>
      </c>
      <c r="J50" s="7">
        <f t="shared" si="0"/>
        <v>100</v>
      </c>
      <c r="K50" s="7"/>
      <c r="L50" s="134" t="s">
        <v>241</v>
      </c>
      <c r="M50" s="162" t="s">
        <v>83</v>
      </c>
      <c r="N50" s="7">
        <v>45</v>
      </c>
      <c r="O50" s="7">
        <v>48</v>
      </c>
      <c r="P50" s="7">
        <v>0</v>
      </c>
      <c r="Q50" s="7">
        <v>7</v>
      </c>
      <c r="R50" s="7"/>
      <c r="S50" s="134" t="s">
        <v>241</v>
      </c>
      <c r="T50" s="7">
        <v>2200</v>
      </c>
      <c r="U50" s="7">
        <v>131</v>
      </c>
      <c r="V50" s="7"/>
      <c r="W50" s="7"/>
      <c r="X50" s="7"/>
      <c r="Y50" s="7"/>
      <c r="Z50" s="7"/>
      <c r="AA50" s="7"/>
      <c r="AB50" s="7"/>
      <c r="AC50" s="7"/>
      <c r="AD50" s="7"/>
      <c r="AE50" s="7"/>
      <c r="AF50" s="7"/>
      <c r="AG50" s="7"/>
      <c r="AH50" s="7"/>
    </row>
    <row r="51" spans="1:34" ht="15.75" customHeight="1">
      <c r="A51" s="134" t="s">
        <v>242</v>
      </c>
      <c r="B51" s="162" t="s">
        <v>82</v>
      </c>
      <c r="C51" s="134">
        <v>15</v>
      </c>
      <c r="D51" s="134">
        <v>5</v>
      </c>
      <c r="E51" s="134">
        <v>0</v>
      </c>
      <c r="F51" s="134">
        <v>24</v>
      </c>
      <c r="G51" s="134">
        <v>6</v>
      </c>
      <c r="H51" s="134">
        <v>27</v>
      </c>
      <c r="I51" s="134">
        <v>23</v>
      </c>
      <c r="J51" s="7">
        <f t="shared" si="0"/>
        <v>100</v>
      </c>
      <c r="K51" s="7"/>
      <c r="L51" s="134" t="s">
        <v>242</v>
      </c>
      <c r="M51" s="162" t="s">
        <v>82</v>
      </c>
      <c r="N51" s="7">
        <v>12</v>
      </c>
      <c r="O51" s="7">
        <v>82</v>
      </c>
      <c r="P51" s="7">
        <v>0</v>
      </c>
      <c r="Q51" s="7">
        <v>7</v>
      </c>
      <c r="R51" s="7"/>
      <c r="S51" s="134" t="s">
        <v>242</v>
      </c>
      <c r="T51" s="7">
        <v>2911</v>
      </c>
      <c r="U51" s="7">
        <v>162</v>
      </c>
      <c r="V51" s="7"/>
      <c r="W51" s="7"/>
      <c r="X51" s="7"/>
      <c r="Y51" s="7"/>
      <c r="Z51" s="7"/>
      <c r="AA51" s="7"/>
      <c r="AB51" s="7"/>
      <c r="AC51" s="7"/>
      <c r="AD51" s="7"/>
      <c r="AE51" s="7"/>
      <c r="AF51" s="7"/>
      <c r="AG51" s="7"/>
      <c r="AH51" s="7"/>
    </row>
    <row r="52" spans="1:34" ht="15.75" customHeight="1">
      <c r="A52" s="134" t="s">
        <v>243</v>
      </c>
      <c r="B52" s="162" t="s">
        <v>84</v>
      </c>
      <c r="C52" s="134">
        <v>16</v>
      </c>
      <c r="D52" s="134">
        <v>0</v>
      </c>
      <c r="E52" s="134">
        <v>0</v>
      </c>
      <c r="F52" s="134">
        <v>18</v>
      </c>
      <c r="G52" s="134">
        <v>2</v>
      </c>
      <c r="H52" s="134">
        <v>49</v>
      </c>
      <c r="I52" s="134">
        <v>15</v>
      </c>
      <c r="J52" s="7">
        <f t="shared" si="0"/>
        <v>100</v>
      </c>
      <c r="K52" s="7"/>
      <c r="L52" s="134" t="s">
        <v>243</v>
      </c>
      <c r="M52" s="162" t="s">
        <v>84</v>
      </c>
      <c r="N52" s="7">
        <v>12</v>
      </c>
      <c r="O52" s="7">
        <v>81</v>
      </c>
      <c r="P52" s="7">
        <v>0</v>
      </c>
      <c r="Q52" s="7">
        <v>7</v>
      </c>
      <c r="R52" s="7"/>
      <c r="S52" s="134" t="s">
        <v>243</v>
      </c>
      <c r="T52" s="7">
        <v>2968</v>
      </c>
      <c r="U52" s="7">
        <v>164</v>
      </c>
      <c r="V52" s="7"/>
      <c r="W52" s="7"/>
      <c r="X52" s="7"/>
      <c r="Y52" s="7"/>
      <c r="Z52" s="7"/>
      <c r="AA52" s="7"/>
      <c r="AB52" s="7"/>
      <c r="AC52" s="7"/>
      <c r="AD52" s="7"/>
      <c r="AE52" s="7"/>
      <c r="AF52" s="7"/>
      <c r="AG52" s="7"/>
      <c r="AH52" s="7"/>
    </row>
    <row r="53" spans="1:34"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4"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4"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row>
    <row r="57" spans="1:34"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row>
    <row r="58" spans="1:34"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row>
    <row r="65" spans="1:34"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row>
    <row r="66" spans="1:34"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34"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34"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34"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row>
    <row r="82" spans="1:34"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row>
    <row r="83" spans="1:34"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row>
    <row r="84" spans="1:34"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row r="85" spans="1:34"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34"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1:34"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row>
    <row r="88" spans="1:34"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row>
    <row r="89" spans="1:34"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row>
    <row r="90" spans="1:34"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row>
    <row r="91" spans="1:34"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row>
    <row r="92" spans="1:34"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34"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34"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row>
    <row r="95" spans="1:34"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row>
    <row r="96" spans="1:34"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row>
    <row r="97" spans="1:34"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1:34"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1:34"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row>
    <row r="105" spans="1:34"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row>
    <row r="106" spans="1:34"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1:34"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1:34"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1:34"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row>
    <row r="110" spans="1:34"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34"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1:34"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row>
    <row r="134" spans="1:34"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row>
    <row r="135" spans="1:34"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row>
    <row r="136" spans="1:34"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row>
    <row r="137" spans="1:34"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34"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row>
    <row r="139" spans="1:34"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row>
    <row r="140" spans="1:34"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row>
    <row r="141" spans="1:34"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34"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row>
    <row r="143" spans="1:34"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row>
    <row r="144" spans="1:34"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row>
    <row r="145" spans="1:34"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row>
    <row r="146" spans="1:34"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row>
    <row r="147" spans="1:34"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row>
    <row r="148" spans="1:34"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row>
    <row r="149" spans="1:34"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row>
    <row r="150" spans="1:34"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row>
    <row r="151" spans="1:34"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row>
    <row r="152" spans="1:34"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row>
    <row r="153" spans="1:34"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row>
    <row r="154" spans="1:34"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row>
    <row r="155" spans="1:34"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row>
    <row r="156" spans="1:34"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row>
    <row r="157" spans="1:34"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row>
    <row r="158" spans="1:34"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row>
    <row r="159" spans="1:34"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row>
    <row r="160" spans="1:34"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row>
    <row r="161" spans="1:34"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row>
    <row r="162" spans="1:34"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row>
    <row r="163" spans="1:34"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row>
    <row r="164" spans="1:34"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row>
    <row r="165" spans="1:34"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row>
    <row r="166" spans="1:34"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row>
    <row r="167" spans="1:34"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row>
    <row r="168" spans="1:34"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row>
    <row r="171" spans="1:34"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row>
    <row r="172" spans="1:34"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row>
    <row r="173" spans="1:34"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row>
    <row r="181" spans="1:34"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row>
    <row r="182" spans="1:34"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row>
    <row r="183" spans="1:34"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34"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row>
    <row r="185" spans="1:34"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row>
    <row r="186" spans="1:34"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row>
    <row r="187" spans="1:34"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row>
    <row r="188" spans="1:34"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row>
    <row r="189" spans="1:34"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row>
    <row r="190" spans="1:34"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row>
    <row r="191" spans="1:34"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row>
    <row r="192" spans="1:34"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row>
    <row r="193" spans="1:34"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row>
    <row r="194" spans="1:34"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row>
    <row r="195" spans="1:34"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row>
    <row r="196" spans="1:34"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row>
    <row r="197" spans="1:34"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row>
    <row r="198" spans="1:34"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row>
    <row r="199" spans="1:34"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row>
    <row r="200" spans="1:34"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row>
    <row r="201" spans="1:34"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row>
    <row r="202" spans="1:34"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row>
    <row r="203" spans="1:34"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row>
    <row r="204" spans="1:34"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row>
    <row r="205" spans="1:34"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row>
    <row r="206" spans="1:34"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row>
    <row r="207" spans="1:34"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row>
    <row r="208" spans="1:34"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row>
    <row r="209" spans="1:34"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row>
    <row r="210" spans="1:34"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row>
    <row r="211" spans="1:34"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row>
    <row r="212" spans="1:34"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row>
    <row r="213" spans="1:34"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row>
    <row r="214" spans="1:34"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row>
    <row r="215" spans="1:34"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8" spans="1:34"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4"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4"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4"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4"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row>
    <row r="224" spans="1:34"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row>
    <row r="225" spans="1:34"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row>
    <row r="226" spans="1:34"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row>
    <row r="227" spans="1:34"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row>
    <row r="228" spans="1:34"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row>
    <row r="229" spans="1:34"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row>
    <row r="230" spans="1:34"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row>
    <row r="231" spans="1:34"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row>
    <row r="232" spans="1:34"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row>
    <row r="233" spans="1:34"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row>
    <row r="234" spans="1: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row>
    <row r="235" spans="1:34"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row>
    <row r="236" spans="1:34"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row>
    <row r="237" spans="1:34"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row>
    <row r="238" spans="1:34"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row>
    <row r="239" spans="1:34"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row>
    <row r="240" spans="1:34"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row>
    <row r="241" spans="1:34"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row>
    <row r="242" spans="1:34"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row>
    <row r="243" spans="1:34"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row>
    <row r="244" spans="1:3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row>
    <row r="245" spans="1:34"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row>
    <row r="246" spans="1:34"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row>
    <row r="247" spans="1:34"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row>
    <row r="248" spans="1:34"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row>
    <row r="249" spans="1:34"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row>
    <row r="250" spans="1:34"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row>
    <row r="251" spans="1:34"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row>
    <row r="252" spans="1:34"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row>
    <row r="253" spans="1:34" ht="15.75" customHeight="1"/>
    <row r="254" spans="1:34" ht="15.75" customHeight="1"/>
    <row r="255" spans="1:34" ht="15.75" customHeight="1"/>
    <row r="256" spans="1:3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L1:Q1"/>
    <mergeCell ref="S1:U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AG1000"/>
  <sheetViews>
    <sheetView workbookViewId="0">
      <pane xSplit="3" ySplit="2" topLeftCell="D3" activePane="bottomRight" state="frozen"/>
      <selection pane="topRight" activeCell="D1" sqref="D1"/>
      <selection pane="bottomLeft" activeCell="A3" sqref="A3"/>
      <selection pane="bottomRight" activeCell="D3" sqref="D3"/>
    </sheetView>
  </sheetViews>
  <sheetFormatPr baseColWidth="10" defaultColWidth="12.6640625" defaultRowHeight="15" customHeight="1"/>
  <cols>
    <col min="6" max="6" width="20.6640625" customWidth="1"/>
    <col min="7" max="7" width="19.5" customWidth="1"/>
    <col min="8" max="8" width="15.5" customWidth="1"/>
    <col min="12" max="12" width="15" customWidth="1"/>
  </cols>
  <sheetData>
    <row r="1" spans="1:33" ht="15.75" customHeight="1">
      <c r="A1" s="183"/>
      <c r="B1" s="7"/>
      <c r="C1" s="163"/>
      <c r="D1" s="163"/>
      <c r="E1" s="235" t="s">
        <v>302</v>
      </c>
      <c r="F1" s="212"/>
      <c r="G1" s="212"/>
      <c r="H1" s="212"/>
      <c r="I1" s="212"/>
      <c r="J1" s="212"/>
      <c r="K1" s="212"/>
      <c r="L1" s="212"/>
      <c r="M1" s="212"/>
      <c r="N1" s="212"/>
      <c r="O1" s="212"/>
      <c r="P1" s="212"/>
      <c r="Q1" s="212"/>
      <c r="R1" s="212"/>
      <c r="S1" s="212"/>
      <c r="T1" s="212"/>
      <c r="U1" s="184"/>
      <c r="V1" s="239" t="s">
        <v>303</v>
      </c>
      <c r="W1" s="212"/>
      <c r="X1" s="212"/>
      <c r="Y1" s="212"/>
      <c r="Z1" s="212"/>
      <c r="AA1" s="7"/>
      <c r="AB1" s="7"/>
      <c r="AC1" s="7"/>
      <c r="AD1" s="7"/>
      <c r="AE1" s="7"/>
      <c r="AF1" s="7"/>
      <c r="AG1" s="7"/>
    </row>
    <row r="2" spans="1:33" ht="15.75" customHeight="1">
      <c r="A2" s="7"/>
      <c r="B2" s="178" t="s">
        <v>31</v>
      </c>
      <c r="C2" s="7" t="s">
        <v>99</v>
      </c>
      <c r="D2" s="7" t="s">
        <v>304</v>
      </c>
      <c r="E2" s="7" t="s">
        <v>305</v>
      </c>
      <c r="F2" s="7" t="s">
        <v>306</v>
      </c>
      <c r="G2" s="7" t="s">
        <v>307</v>
      </c>
      <c r="H2" s="7" t="s">
        <v>308</v>
      </c>
      <c r="I2" s="7" t="s">
        <v>309</v>
      </c>
      <c r="J2" s="7" t="s">
        <v>310</v>
      </c>
      <c r="K2" s="7" t="s">
        <v>311</v>
      </c>
      <c r="L2" s="7" t="s">
        <v>312</v>
      </c>
      <c r="M2" s="7" t="s">
        <v>313</v>
      </c>
      <c r="N2" s="7" t="s">
        <v>314</v>
      </c>
      <c r="O2" s="7" t="s">
        <v>315</v>
      </c>
      <c r="P2" s="7" t="s">
        <v>316</v>
      </c>
      <c r="Q2" s="7" t="s">
        <v>317</v>
      </c>
      <c r="R2" s="7" t="s">
        <v>318</v>
      </c>
      <c r="S2" s="7"/>
      <c r="T2" s="7" t="s">
        <v>99</v>
      </c>
      <c r="U2" s="139" t="s">
        <v>319</v>
      </c>
      <c r="V2" s="185" t="s">
        <v>320</v>
      </c>
      <c r="W2" s="186" t="s">
        <v>321</v>
      </c>
      <c r="X2" s="186" t="s">
        <v>139</v>
      </c>
      <c r="Y2" s="185" t="s">
        <v>322</v>
      </c>
      <c r="Z2" s="7"/>
      <c r="AA2" s="7"/>
      <c r="AB2" s="139"/>
      <c r="AC2" s="139"/>
      <c r="AD2" s="187"/>
      <c r="AE2" s="7"/>
      <c r="AF2" s="7"/>
      <c r="AG2" s="7"/>
    </row>
    <row r="3" spans="1:33" ht="15.75" customHeight="1">
      <c r="A3" s="7"/>
      <c r="B3" s="7" t="s">
        <v>197</v>
      </c>
      <c r="C3" s="188" t="s">
        <v>37</v>
      </c>
      <c r="D3" s="188">
        <v>1</v>
      </c>
      <c r="E3" s="188">
        <v>0.20722634016007763</v>
      </c>
      <c r="F3" s="188">
        <v>4.1170483761570328E-2</v>
      </c>
      <c r="G3" s="188">
        <v>1.9078438809413286E-2</v>
      </c>
      <c r="H3" s="188">
        <v>8.7632954979646543E-2</v>
      </c>
      <c r="I3" s="188">
        <v>0.33774181940839598</v>
      </c>
      <c r="J3" s="188">
        <v>4.3608593223102544E-2</v>
      </c>
      <c r="K3" s="188">
        <v>1.6913006956925176E-2</v>
      </c>
      <c r="L3" s="188">
        <v>7.3709651661106566E-3</v>
      </c>
      <c r="M3" s="188">
        <v>0.18566628122865569</v>
      </c>
      <c r="N3" s="188">
        <v>2.8600710393232927E-2</v>
      </c>
      <c r="O3" s="188">
        <v>2.2445072787717214E-2</v>
      </c>
      <c r="P3" s="188">
        <v>0</v>
      </c>
      <c r="Q3" s="188">
        <v>2.5453331251519733E-3</v>
      </c>
      <c r="R3" s="188">
        <v>0</v>
      </c>
      <c r="S3" s="7"/>
      <c r="T3" s="188" t="s">
        <v>37</v>
      </c>
      <c r="U3" s="188">
        <v>1</v>
      </c>
      <c r="V3" s="189">
        <v>23</v>
      </c>
      <c r="W3" s="78"/>
      <c r="X3" s="78">
        <v>37.407241675574738</v>
      </c>
      <c r="Y3" s="78">
        <v>13.84870162541621</v>
      </c>
      <c r="Z3" s="7"/>
      <c r="AA3" s="7"/>
      <c r="AB3" s="188"/>
      <c r="AC3" s="139"/>
      <c r="AD3" s="188"/>
      <c r="AE3" s="190"/>
      <c r="AF3" s="190"/>
      <c r="AG3" s="7"/>
    </row>
    <row r="4" spans="1:33" ht="15.75" customHeight="1">
      <c r="A4" s="7"/>
      <c r="B4" s="7" t="s">
        <v>216</v>
      </c>
      <c r="C4" s="188" t="s">
        <v>38</v>
      </c>
      <c r="D4" s="188">
        <v>1</v>
      </c>
      <c r="E4" s="188">
        <v>0.20737718755167989</v>
      </c>
      <c r="F4" s="188">
        <v>0</v>
      </c>
      <c r="G4" s="188">
        <v>8.2455817385528908E-3</v>
      </c>
      <c r="H4" s="188">
        <v>0.12485959299250157</v>
      </c>
      <c r="I4" s="188">
        <v>0.36585282481139342</v>
      </c>
      <c r="J4" s="188">
        <v>4.3757621890087431E-2</v>
      </c>
      <c r="K4" s="188">
        <v>8.7537395718794118E-3</v>
      </c>
      <c r="L4" s="188">
        <v>7.7743756304231668E-3</v>
      </c>
      <c r="M4" s="188">
        <v>0.1882225399030891</v>
      </c>
      <c r="N4" s="188">
        <v>1.0395465574550631E-2</v>
      </c>
      <c r="O4" s="188">
        <v>3.0472187668168543E-2</v>
      </c>
      <c r="P4" s="188">
        <v>2.9311216023031905E-3</v>
      </c>
      <c r="Q4" s="188">
        <v>1.3577610653707527E-3</v>
      </c>
      <c r="R4" s="188">
        <v>0</v>
      </c>
      <c r="S4" s="7"/>
      <c r="T4" s="188" t="s">
        <v>38</v>
      </c>
      <c r="U4" s="188">
        <v>1</v>
      </c>
      <c r="V4" s="189">
        <v>23</v>
      </c>
      <c r="W4" s="78"/>
      <c r="X4" s="78">
        <v>37.633585948185086</v>
      </c>
      <c r="Y4" s="78">
        <v>14.089953026432227</v>
      </c>
      <c r="Z4" s="7"/>
      <c r="AA4" s="7"/>
      <c r="AB4" s="188"/>
      <c r="AC4" s="188"/>
      <c r="AD4" s="188"/>
      <c r="AE4" s="190"/>
      <c r="AF4" s="190"/>
      <c r="AG4" s="7"/>
    </row>
    <row r="5" spans="1:33" ht="15.75" customHeight="1">
      <c r="A5" s="7"/>
      <c r="B5" s="7" t="s">
        <v>225</v>
      </c>
      <c r="C5" s="188" t="s">
        <v>39</v>
      </c>
      <c r="D5" s="188">
        <v>1</v>
      </c>
      <c r="E5" s="188">
        <v>0.20548139748901662</v>
      </c>
      <c r="F5" s="188">
        <v>0</v>
      </c>
      <c r="G5" s="188">
        <v>7.5002848157549422E-3</v>
      </c>
      <c r="H5" s="188">
        <v>0.14543284804503881</v>
      </c>
      <c r="I5" s="188">
        <v>0.37326041652618364</v>
      </c>
      <c r="J5" s="188">
        <v>2.2444450123787745E-2</v>
      </c>
      <c r="K5" s="188">
        <v>1.339949155637709E-2</v>
      </c>
      <c r="L5" s="188">
        <v>2.223239371082107E-3</v>
      </c>
      <c r="M5" s="188">
        <v>0.20285654741312412</v>
      </c>
      <c r="N5" s="188">
        <v>1.23044876755063E-2</v>
      </c>
      <c r="O5" s="188">
        <v>8.3816675666273279E-4</v>
      </c>
      <c r="P5" s="188">
        <v>9.4641537112442869E-3</v>
      </c>
      <c r="Q5" s="188">
        <v>4.7945165162216075E-3</v>
      </c>
      <c r="R5" s="188">
        <v>3.3750201271041998E-3</v>
      </c>
      <c r="S5" s="7"/>
      <c r="T5" s="188" t="s">
        <v>39</v>
      </c>
      <c r="U5" s="188">
        <v>1.0033750201271041</v>
      </c>
      <c r="V5" s="189">
        <v>23</v>
      </c>
      <c r="W5" s="78"/>
      <c r="X5" s="78">
        <v>38.363079890651612</v>
      </c>
      <c r="Y5" s="78">
        <v>13.574116324193573</v>
      </c>
      <c r="Z5" s="7"/>
      <c r="AA5" s="7"/>
      <c r="AB5" s="188"/>
      <c r="AC5" s="188"/>
      <c r="AD5" s="188"/>
      <c r="AE5" s="190"/>
      <c r="AF5" s="190"/>
      <c r="AG5" s="7"/>
    </row>
    <row r="6" spans="1:33" ht="15.75" customHeight="1">
      <c r="A6" s="7"/>
      <c r="B6" s="7" t="s">
        <v>215</v>
      </c>
      <c r="C6" s="188" t="s">
        <v>58</v>
      </c>
      <c r="D6" s="188">
        <v>0.99999999999999989</v>
      </c>
      <c r="E6" s="188">
        <v>0.25954858730605596</v>
      </c>
      <c r="F6" s="188">
        <v>0</v>
      </c>
      <c r="G6" s="188">
        <v>1.7289369304071035E-2</v>
      </c>
      <c r="H6" s="188">
        <v>0.10612714494274464</v>
      </c>
      <c r="I6" s="188">
        <v>0.3873740243712081</v>
      </c>
      <c r="J6" s="188">
        <v>4.3261318497376897E-2</v>
      </c>
      <c r="K6" s="188">
        <v>1.2227028456835357E-2</v>
      </c>
      <c r="L6" s="188">
        <v>6.6927038766654093E-4</v>
      </c>
      <c r="M6" s="188">
        <v>0.15275298195018031</v>
      </c>
      <c r="N6" s="188">
        <v>2.9852190061219032E-3</v>
      </c>
      <c r="O6" s="188">
        <v>2.5730576781709666E-3</v>
      </c>
      <c r="P6" s="188">
        <v>1.0198505087855044E-2</v>
      </c>
      <c r="Q6" s="188">
        <v>4.9934930117132735E-3</v>
      </c>
      <c r="R6" s="188">
        <v>8.0561224413049064E-3</v>
      </c>
      <c r="S6" s="7"/>
      <c r="T6" s="188" t="s">
        <v>58</v>
      </c>
      <c r="U6" s="188">
        <v>1.0080561224413047</v>
      </c>
      <c r="V6" s="189">
        <v>23</v>
      </c>
      <c r="W6" s="78"/>
      <c r="X6" s="78">
        <v>39.415067898429655</v>
      </c>
      <c r="Y6" s="78">
        <v>14.23717780803997</v>
      </c>
      <c r="Z6" s="7"/>
      <c r="AA6" s="7"/>
      <c r="AB6" s="188"/>
      <c r="AC6" s="188"/>
      <c r="AD6" s="188"/>
      <c r="AE6" s="190"/>
      <c r="AF6" s="190"/>
      <c r="AG6" s="7"/>
    </row>
    <row r="7" spans="1:33" ht="15.75" customHeight="1">
      <c r="A7" s="7"/>
      <c r="B7" s="7" t="s">
        <v>242</v>
      </c>
      <c r="C7" s="188" t="s">
        <v>82</v>
      </c>
      <c r="D7" s="188">
        <v>0.98704962795569318</v>
      </c>
      <c r="E7" s="188">
        <v>0.25130000454486523</v>
      </c>
      <c r="F7" s="188">
        <v>0</v>
      </c>
      <c r="G7" s="188">
        <v>1.4138960390177983E-3</v>
      </c>
      <c r="H7" s="188">
        <v>0.10303991184524768</v>
      </c>
      <c r="I7" s="188">
        <v>0.37330488344467883</v>
      </c>
      <c r="J7" s="188">
        <v>4.6949276884394743E-2</v>
      </c>
      <c r="K7" s="188">
        <v>1.1336330711046587E-2</v>
      </c>
      <c r="L7" s="188">
        <v>1.0974751505491265E-2</v>
      </c>
      <c r="M7" s="188">
        <v>0.14324358136423604</v>
      </c>
      <c r="N7" s="188">
        <v>2.1620754035950145E-2</v>
      </c>
      <c r="O7" s="188">
        <v>1.6967385250434546E-2</v>
      </c>
      <c r="P7" s="188">
        <v>3.8198084880886004E-3</v>
      </c>
      <c r="Q7" s="188">
        <v>3.0790438422417343E-3</v>
      </c>
      <c r="R7" s="188">
        <v>1.2950372044306815E-2</v>
      </c>
      <c r="S7" s="7"/>
      <c r="T7" s="188" t="s">
        <v>82</v>
      </c>
      <c r="U7" s="188">
        <v>1</v>
      </c>
      <c r="V7" s="189">
        <v>23</v>
      </c>
      <c r="W7" s="78"/>
      <c r="X7" s="78">
        <v>37.41369448671368</v>
      </c>
      <c r="Y7" s="78">
        <v>14.547081483701598</v>
      </c>
      <c r="Z7" s="7"/>
      <c r="AA7" s="7"/>
      <c r="AB7" s="188"/>
      <c r="AC7" s="188"/>
      <c r="AD7" s="188"/>
      <c r="AE7" s="190"/>
      <c r="AF7" s="190"/>
      <c r="AG7" s="7"/>
    </row>
    <row r="8" spans="1:33" ht="15.75" customHeight="1">
      <c r="A8" s="7"/>
      <c r="B8" s="7" t="s">
        <v>192</v>
      </c>
      <c r="C8" s="188" t="s">
        <v>40</v>
      </c>
      <c r="D8" s="188">
        <v>1.0000000000000002</v>
      </c>
      <c r="E8" s="188">
        <v>0.37395944503735323</v>
      </c>
      <c r="F8" s="188">
        <v>0</v>
      </c>
      <c r="G8" s="188">
        <v>4.4144755991074027E-3</v>
      </c>
      <c r="H8" s="188">
        <v>6.0851848258465117E-2</v>
      </c>
      <c r="I8" s="188">
        <v>0.35370136800232854</v>
      </c>
      <c r="J8" s="188">
        <v>2.2363442320752887E-2</v>
      </c>
      <c r="K8" s="188">
        <v>1.3388958959930145E-2</v>
      </c>
      <c r="L8" s="188">
        <v>1.7851945279906859E-2</v>
      </c>
      <c r="M8" s="188">
        <v>0.13961385466188028</v>
      </c>
      <c r="N8" s="188">
        <v>1.6008537886872999E-3</v>
      </c>
      <c r="O8" s="188">
        <v>3.3957504608518482E-4</v>
      </c>
      <c r="P8" s="188">
        <v>4.0554962646744928E-3</v>
      </c>
      <c r="Q8" s="188">
        <v>7.8587367808285631E-3</v>
      </c>
      <c r="R8" s="188">
        <v>0</v>
      </c>
      <c r="S8" s="7"/>
      <c r="T8" s="188" t="s">
        <v>40</v>
      </c>
      <c r="U8" s="188">
        <v>1.0000000000000002</v>
      </c>
      <c r="V8" s="189">
        <v>23</v>
      </c>
      <c r="W8" s="78"/>
      <c r="X8" s="78">
        <v>40.167039875812556</v>
      </c>
      <c r="Y8" s="78">
        <v>15.949418841563984</v>
      </c>
      <c r="Z8" s="7"/>
      <c r="AA8" s="7"/>
      <c r="AB8" s="190"/>
      <c r="AC8" s="190"/>
      <c r="AD8" s="190"/>
      <c r="AE8" s="190"/>
      <c r="AF8" s="190"/>
      <c r="AG8" s="7"/>
    </row>
    <row r="9" spans="1:33" ht="15.75" customHeight="1">
      <c r="A9" s="7"/>
      <c r="B9" s="7" t="s">
        <v>195</v>
      </c>
      <c r="C9" s="188" t="s">
        <v>42</v>
      </c>
      <c r="D9" s="188">
        <v>0.98773979418039692</v>
      </c>
      <c r="E9" s="188">
        <v>0.29963649891532351</v>
      </c>
      <c r="F9" s="188">
        <v>0</v>
      </c>
      <c r="G9" s="188">
        <v>1.9694273625329436E-2</v>
      </c>
      <c r="H9" s="188">
        <v>5.9988436093730391E-2</v>
      </c>
      <c r="I9" s="188">
        <v>0.39464676300267137</v>
      </c>
      <c r="J9" s="188">
        <v>4.0930177313229468E-2</v>
      </c>
      <c r="K9" s="188">
        <v>8.4098284239023258E-3</v>
      </c>
      <c r="L9" s="188">
        <v>0</v>
      </c>
      <c r="M9" s="188">
        <v>0.12989673162773185</v>
      </c>
      <c r="N9" s="188">
        <v>1.5712793803897663E-2</v>
      </c>
      <c r="O9" s="188">
        <v>1.1847849472004591E-2</v>
      </c>
      <c r="P9" s="188">
        <v>2.5980690965810281E-3</v>
      </c>
      <c r="Q9" s="188">
        <v>4.3783728059953028E-3</v>
      </c>
      <c r="R9" s="188">
        <v>1.2260205819603062E-2</v>
      </c>
      <c r="S9" s="7"/>
      <c r="T9" s="188" t="s">
        <v>42</v>
      </c>
      <c r="U9" s="188">
        <v>1</v>
      </c>
      <c r="V9" s="189">
        <v>23</v>
      </c>
      <c r="W9" s="78"/>
      <c r="X9" s="78">
        <v>39.332063238431616</v>
      </c>
      <c r="Y9" s="78">
        <v>14.127168389300248</v>
      </c>
      <c r="Z9" s="7"/>
      <c r="AA9" s="7"/>
      <c r="AB9" s="190"/>
      <c r="AC9" s="190"/>
      <c r="AD9" s="190"/>
      <c r="AE9" s="190"/>
      <c r="AF9" s="190"/>
      <c r="AG9" s="7"/>
    </row>
    <row r="10" spans="1:33" ht="15.75" customHeight="1">
      <c r="A10" s="7"/>
      <c r="B10" s="7" t="s">
        <v>196</v>
      </c>
      <c r="C10" s="188" t="s">
        <v>41</v>
      </c>
      <c r="D10" s="188">
        <v>1.0000000000000002</v>
      </c>
      <c r="E10" s="188">
        <v>0.36690671551284304</v>
      </c>
      <c r="F10" s="188">
        <v>0</v>
      </c>
      <c r="G10" s="188">
        <v>3.8056524393813933E-3</v>
      </c>
      <c r="H10" s="188">
        <v>6.0430415108858389E-2</v>
      </c>
      <c r="I10" s="188">
        <v>0.35953796870164523</v>
      </c>
      <c r="J10" s="188">
        <v>1.9505014260741558E-2</v>
      </c>
      <c r="K10" s="188">
        <v>1.2880669794829332E-2</v>
      </c>
      <c r="L10" s="188">
        <v>1.661104559255263E-2</v>
      </c>
      <c r="M10" s="188">
        <v>0.14557666089545748</v>
      </c>
      <c r="N10" s="188">
        <v>1.3047951220736206E-3</v>
      </c>
      <c r="O10" s="188">
        <v>2.9274249533703026E-4</v>
      </c>
      <c r="P10" s="188">
        <v>5.0435349910922644E-3</v>
      </c>
      <c r="Q10" s="188">
        <v>8.1047850851880664E-3</v>
      </c>
      <c r="R10" s="188">
        <v>0</v>
      </c>
      <c r="S10" s="7"/>
      <c r="T10" s="188" t="s">
        <v>41</v>
      </c>
      <c r="U10" s="188">
        <v>1.0000000000000002</v>
      </c>
      <c r="V10" s="189">
        <v>23</v>
      </c>
      <c r="W10" s="78"/>
      <c r="X10" s="78">
        <v>40.36587960755778</v>
      </c>
      <c r="Y10" s="78">
        <v>15.768974313937056</v>
      </c>
      <c r="Z10" s="7"/>
      <c r="AA10" s="7"/>
      <c r="AB10" s="190"/>
      <c r="AC10" s="190"/>
      <c r="AD10" s="190"/>
      <c r="AE10" s="190"/>
      <c r="AF10" s="190"/>
      <c r="AG10" s="7"/>
    </row>
    <row r="11" spans="1:33" ht="15.75" customHeight="1">
      <c r="A11" s="7"/>
      <c r="B11" s="7" t="s">
        <v>198</v>
      </c>
      <c r="C11" s="188" t="s">
        <v>43</v>
      </c>
      <c r="D11" s="188">
        <v>1.0000000000000002</v>
      </c>
      <c r="E11" s="188">
        <v>0.33645782891857356</v>
      </c>
      <c r="F11" s="188">
        <v>0</v>
      </c>
      <c r="G11" s="188">
        <v>0</v>
      </c>
      <c r="H11" s="188">
        <v>7.4615444788593097E-2</v>
      </c>
      <c r="I11" s="188">
        <v>0.34456536714537406</v>
      </c>
      <c r="J11" s="188">
        <v>0</v>
      </c>
      <c r="K11" s="188">
        <v>7.0700667458301794E-2</v>
      </c>
      <c r="L11" s="188">
        <v>0</v>
      </c>
      <c r="M11" s="188">
        <v>0.1420236175054399</v>
      </c>
      <c r="N11" s="188">
        <v>1.3345647256448366E-2</v>
      </c>
      <c r="O11" s="188">
        <v>0</v>
      </c>
      <c r="P11" s="188">
        <v>1.3345647256448366E-2</v>
      </c>
      <c r="Q11" s="188">
        <v>4.9457796708209014E-3</v>
      </c>
      <c r="R11" s="188">
        <v>0</v>
      </c>
      <c r="S11" s="7"/>
      <c r="T11" s="188" t="s">
        <v>43</v>
      </c>
      <c r="U11" s="188">
        <v>1.0000000000000002</v>
      </c>
      <c r="V11" s="189">
        <v>23</v>
      </c>
      <c r="W11" s="78"/>
      <c r="X11" s="78">
        <v>38.06004788787979</v>
      </c>
      <c r="Y11" s="78">
        <v>12.992289786093407</v>
      </c>
      <c r="Z11" s="7"/>
      <c r="AA11" s="7"/>
      <c r="AB11" s="190"/>
      <c r="AC11" s="190"/>
      <c r="AD11" s="190"/>
      <c r="AE11" s="190"/>
      <c r="AF11" s="190"/>
      <c r="AG11" s="7"/>
    </row>
    <row r="12" spans="1:33" ht="15.75" customHeight="1">
      <c r="A12" s="7"/>
      <c r="B12" s="7" t="s">
        <v>199</v>
      </c>
      <c r="C12" s="188" t="s">
        <v>44</v>
      </c>
      <c r="D12" s="188">
        <v>1</v>
      </c>
      <c r="E12" s="188">
        <v>0.30587422042177281</v>
      </c>
      <c r="F12" s="188">
        <v>0</v>
      </c>
      <c r="G12" s="188">
        <v>0</v>
      </c>
      <c r="H12" s="188">
        <v>8.7795629787385449E-2</v>
      </c>
      <c r="I12" s="188">
        <v>0.40689535988939773</v>
      </c>
      <c r="J12" s="188">
        <v>2.2473709089615282E-2</v>
      </c>
      <c r="K12" s="188">
        <v>6.2493328792676663E-3</v>
      </c>
      <c r="L12" s="188">
        <v>6.1273450882124211E-3</v>
      </c>
      <c r="M12" s="188">
        <v>0.14989758108375986</v>
      </c>
      <c r="N12" s="188">
        <v>5.5250303698771482E-3</v>
      </c>
      <c r="O12" s="188">
        <v>0</v>
      </c>
      <c r="P12" s="188">
        <v>9.1617913907116461E-3</v>
      </c>
      <c r="Q12" s="188">
        <v>0</v>
      </c>
      <c r="R12" s="188">
        <v>0</v>
      </c>
      <c r="S12" s="7"/>
      <c r="T12" s="188" t="s">
        <v>44</v>
      </c>
      <c r="U12" s="188">
        <v>1</v>
      </c>
      <c r="V12" s="189">
        <v>23</v>
      </c>
      <c r="W12" s="78"/>
      <c r="X12" s="78">
        <v>40.728073202840285</v>
      </c>
      <c r="Y12" s="78">
        <v>14.416838127284095</v>
      </c>
      <c r="Z12" s="7"/>
      <c r="AA12" s="7"/>
      <c r="AB12" s="190"/>
      <c r="AC12" s="190"/>
      <c r="AD12" s="190"/>
      <c r="AE12" s="190"/>
      <c r="AF12" s="190"/>
      <c r="AG12" s="7"/>
    </row>
    <row r="13" spans="1:33" ht="15.75" customHeight="1">
      <c r="A13" s="7"/>
      <c r="B13" s="191" t="s">
        <v>200</v>
      </c>
      <c r="C13" s="188" t="s">
        <v>45</v>
      </c>
      <c r="D13" s="188">
        <v>1</v>
      </c>
      <c r="E13" s="188">
        <v>0.3058996106631961</v>
      </c>
      <c r="F13" s="188">
        <v>0</v>
      </c>
      <c r="G13" s="188">
        <v>0</v>
      </c>
      <c r="H13" s="188">
        <v>8.7859971103047413E-2</v>
      </c>
      <c r="I13" s="188">
        <v>0.40941025952110471</v>
      </c>
      <c r="J13" s="188">
        <v>2.3194767666295343E-2</v>
      </c>
      <c r="K13" s="188">
        <v>5.5698324638512355E-3</v>
      </c>
      <c r="L13" s="188">
        <v>6.4411527898794486E-3</v>
      </c>
      <c r="M13" s="188">
        <v>0.14479358531770103</v>
      </c>
      <c r="N13" s="188">
        <v>2.6139609780846396E-3</v>
      </c>
      <c r="O13" s="188">
        <v>4.9411583045650565E-3</v>
      </c>
      <c r="P13" s="188">
        <v>9.2757011922750283E-3</v>
      </c>
      <c r="Q13" s="188">
        <v>0</v>
      </c>
      <c r="R13" s="188">
        <v>0</v>
      </c>
      <c r="S13" s="7"/>
      <c r="T13" s="188" t="s">
        <v>45</v>
      </c>
      <c r="U13" s="188">
        <v>1</v>
      </c>
      <c r="V13" s="189">
        <v>23</v>
      </c>
      <c r="W13" s="78"/>
      <c r="X13" s="78">
        <v>40.624598806622032</v>
      </c>
      <c r="Y13" s="78">
        <v>14.399115444428514</v>
      </c>
      <c r="Z13" s="7"/>
      <c r="AA13" s="7"/>
      <c r="AB13" s="190"/>
      <c r="AC13" s="190"/>
      <c r="AD13" s="190"/>
      <c r="AE13" s="190"/>
      <c r="AF13" s="190"/>
      <c r="AG13" s="7"/>
    </row>
    <row r="14" spans="1:33" ht="15.75" customHeight="1">
      <c r="A14" s="7"/>
      <c r="B14" s="7" t="s">
        <v>201</v>
      </c>
      <c r="C14" s="188" t="s">
        <v>46</v>
      </c>
      <c r="D14" s="188">
        <v>1.0000000000000002</v>
      </c>
      <c r="E14" s="188">
        <v>0.37766255774470642</v>
      </c>
      <c r="F14" s="188">
        <v>0</v>
      </c>
      <c r="G14" s="188">
        <v>4.6959959350229329E-3</v>
      </c>
      <c r="H14" s="188">
        <v>6.1131070037284636E-2</v>
      </c>
      <c r="I14" s="188">
        <v>0.35002688086748113</v>
      </c>
      <c r="J14" s="188">
        <v>2.3716388301839742E-2</v>
      </c>
      <c r="K14" s="188">
        <v>1.3620086420983434E-2</v>
      </c>
      <c r="L14" s="188">
        <v>1.8144473825453568E-2</v>
      </c>
      <c r="M14" s="188">
        <v>0.13776902653720352</v>
      </c>
      <c r="N14" s="188">
        <v>1.5677154301542108E-3</v>
      </c>
      <c r="O14" s="188">
        <v>0</v>
      </c>
      <c r="P14" s="188">
        <v>3.8544884792132464E-3</v>
      </c>
      <c r="Q14" s="188">
        <v>7.8113164206571979E-3</v>
      </c>
      <c r="R14" s="188">
        <v>0</v>
      </c>
      <c r="S14" s="7"/>
      <c r="T14" s="188" t="s">
        <v>46</v>
      </c>
      <c r="U14" s="188">
        <v>1.0000000000000002</v>
      </c>
      <c r="V14" s="189">
        <v>23</v>
      </c>
      <c r="W14" s="78"/>
      <c r="X14" s="78">
        <v>40.112271171867292</v>
      </c>
      <c r="Y14" s="78">
        <v>16.027959096391708</v>
      </c>
      <c r="Z14" s="7"/>
      <c r="AA14" s="7"/>
      <c r="AB14" s="190"/>
      <c r="AC14" s="190"/>
      <c r="AD14" s="190"/>
      <c r="AE14" s="190"/>
      <c r="AF14" s="190"/>
      <c r="AG14" s="7"/>
    </row>
    <row r="15" spans="1:33" ht="15.75" customHeight="1">
      <c r="A15" s="7"/>
      <c r="B15" s="7" t="s">
        <v>202</v>
      </c>
      <c r="C15" s="188" t="s">
        <v>47</v>
      </c>
      <c r="D15" s="188">
        <v>0.99999999999999989</v>
      </c>
      <c r="E15" s="188">
        <v>0.37476472749346068</v>
      </c>
      <c r="F15" s="188">
        <v>0</v>
      </c>
      <c r="G15" s="188">
        <v>4.4795762985911465E-3</v>
      </c>
      <c r="H15" s="188">
        <v>6.0908300114495724E-2</v>
      </c>
      <c r="I15" s="188">
        <v>0.35293351729264383</v>
      </c>
      <c r="J15" s="188">
        <v>2.2667462981449005E-2</v>
      </c>
      <c r="K15" s="188">
        <v>1.3442396671127088E-2</v>
      </c>
      <c r="L15" s="188">
        <v>1.794336832594786E-2</v>
      </c>
      <c r="M15" s="188">
        <v>0.13912544341875785</v>
      </c>
      <c r="N15" s="188">
        <v>1.5698078513621812E-3</v>
      </c>
      <c r="O15" s="188">
        <v>3.4415958735082089E-4</v>
      </c>
      <c r="P15" s="188">
        <v>3.992373472447977E-3</v>
      </c>
      <c r="Q15" s="188">
        <v>7.8288664923658307E-3</v>
      </c>
      <c r="R15" s="188">
        <v>0</v>
      </c>
      <c r="S15" s="7"/>
      <c r="T15" s="188" t="s">
        <v>47</v>
      </c>
      <c r="U15" s="188">
        <v>0.99999999999999989</v>
      </c>
      <c r="V15" s="189">
        <v>23</v>
      </c>
      <c r="W15" s="78"/>
      <c r="X15" s="78">
        <v>40.151445928738795</v>
      </c>
      <c r="Y15" s="78">
        <v>15.967884531096315</v>
      </c>
      <c r="Z15" s="7"/>
      <c r="AA15" s="7"/>
      <c r="AB15" s="190"/>
      <c r="AC15" s="190"/>
      <c r="AD15" s="190"/>
      <c r="AE15" s="190"/>
      <c r="AF15" s="190"/>
      <c r="AG15" s="7"/>
    </row>
    <row r="16" spans="1:33" ht="15.75" customHeight="1">
      <c r="A16" s="7"/>
      <c r="B16" s="7" t="s">
        <v>205</v>
      </c>
      <c r="C16" s="188" t="s">
        <v>49</v>
      </c>
      <c r="D16" s="188">
        <v>0.99995394554662231</v>
      </c>
      <c r="E16" s="188">
        <v>0.32811546643481038</v>
      </c>
      <c r="F16" s="188">
        <v>0</v>
      </c>
      <c r="G16" s="188">
        <v>1.128612781196172E-2</v>
      </c>
      <c r="H16" s="188">
        <v>9.0255728352646863E-2</v>
      </c>
      <c r="I16" s="188">
        <v>0.37269009048966739</v>
      </c>
      <c r="J16" s="188">
        <v>4.007404793417909E-2</v>
      </c>
      <c r="K16" s="188">
        <v>7.395039847369088E-3</v>
      </c>
      <c r="L16" s="188">
        <v>1.2518964461215696E-2</v>
      </c>
      <c r="M16" s="188">
        <v>0.11058348939046198</v>
      </c>
      <c r="N16" s="188">
        <v>1.2418715356490802E-2</v>
      </c>
      <c r="O16" s="188">
        <v>9.2053172066477989E-3</v>
      </c>
      <c r="P16" s="188">
        <v>5.4355988604309522E-4</v>
      </c>
      <c r="Q16" s="188">
        <v>4.8673983751284832E-3</v>
      </c>
      <c r="R16" s="188">
        <v>4.6054453377639478E-5</v>
      </c>
      <c r="S16" s="7"/>
      <c r="T16" s="188" t="s">
        <v>49</v>
      </c>
      <c r="U16" s="188">
        <v>1</v>
      </c>
      <c r="V16" s="189">
        <v>23</v>
      </c>
      <c r="W16" s="78"/>
      <c r="X16" s="78">
        <v>38.55157076486767</v>
      </c>
      <c r="Y16" s="78">
        <v>15.088407331399633</v>
      </c>
      <c r="Z16" s="7"/>
      <c r="AA16" s="7"/>
      <c r="AB16" s="190"/>
      <c r="AC16" s="190"/>
      <c r="AD16" s="190"/>
      <c r="AE16" s="190"/>
      <c r="AF16" s="190"/>
      <c r="AG16" s="7"/>
    </row>
    <row r="17" spans="1:33" ht="15.75" customHeight="1">
      <c r="A17" s="7"/>
      <c r="B17" s="7" t="s">
        <v>206</v>
      </c>
      <c r="C17" s="188" t="s">
        <v>50</v>
      </c>
      <c r="D17" s="188">
        <v>0.99251222606507583</v>
      </c>
      <c r="E17" s="188">
        <v>0.2767765301664008</v>
      </c>
      <c r="F17" s="188">
        <v>0</v>
      </c>
      <c r="G17" s="188">
        <v>1.0590483409927196E-2</v>
      </c>
      <c r="H17" s="188">
        <v>8.2804546148460487E-2</v>
      </c>
      <c r="I17" s="188">
        <v>0.36867653174565573</v>
      </c>
      <c r="J17" s="188">
        <v>4.8119897032580031E-2</v>
      </c>
      <c r="K17" s="188">
        <v>9.4255197064691543E-3</v>
      </c>
      <c r="L17" s="188">
        <v>4.8641051152066453E-4</v>
      </c>
      <c r="M17" s="188">
        <v>0.15358359259434731</v>
      </c>
      <c r="N17" s="188">
        <v>9.0770307902065146E-3</v>
      </c>
      <c r="O17" s="188">
        <v>2.2506488105578454E-2</v>
      </c>
      <c r="P17" s="188">
        <v>7.7862531124482139E-3</v>
      </c>
      <c r="Q17" s="188">
        <v>2.6789427414812359E-3</v>
      </c>
      <c r="R17" s="188">
        <v>7.4877739349241699E-3</v>
      </c>
      <c r="S17" s="7"/>
      <c r="T17" s="188" t="s">
        <v>50</v>
      </c>
      <c r="U17" s="188">
        <v>1</v>
      </c>
      <c r="V17" s="189">
        <v>23</v>
      </c>
      <c r="W17" s="78"/>
      <c r="X17" s="78">
        <v>39.033810636808219</v>
      </c>
      <c r="Y17" s="78">
        <v>14.141919689623769</v>
      </c>
      <c r="Z17" s="7"/>
      <c r="AA17" s="7"/>
      <c r="AB17" s="190"/>
      <c r="AC17" s="190"/>
      <c r="AD17" s="190"/>
      <c r="AE17" s="190"/>
      <c r="AF17" s="190"/>
      <c r="AG17" s="7"/>
    </row>
    <row r="18" spans="1:33" ht="15.75" customHeight="1">
      <c r="A18" s="7"/>
      <c r="B18" s="7" t="s">
        <v>207</v>
      </c>
      <c r="C18" s="188" t="s">
        <v>51</v>
      </c>
      <c r="D18" s="188">
        <v>1</v>
      </c>
      <c r="E18" s="188">
        <v>0.2806178979268889</v>
      </c>
      <c r="F18" s="188">
        <v>0</v>
      </c>
      <c r="G18" s="188">
        <v>1.0436851709603033E-2</v>
      </c>
      <c r="H18" s="188">
        <v>8.3328756445354146E-2</v>
      </c>
      <c r="I18" s="188">
        <v>0.37166418999010103</v>
      </c>
      <c r="J18" s="188">
        <v>4.8133390370382403E-2</v>
      </c>
      <c r="K18" s="188">
        <v>9.4273578257435646E-3</v>
      </c>
      <c r="L18" s="188">
        <v>5.0410230981999039E-4</v>
      </c>
      <c r="M18" s="188">
        <v>0.15338453775107455</v>
      </c>
      <c r="N18" s="188">
        <v>9.4962045350642475E-3</v>
      </c>
      <c r="O18" s="188">
        <v>2.2873094370788778E-2</v>
      </c>
      <c r="P18" s="188">
        <v>7.6027911023234859E-3</v>
      </c>
      <c r="Q18" s="188">
        <v>2.5308256628558596E-3</v>
      </c>
      <c r="R18" s="188">
        <v>0</v>
      </c>
      <c r="S18" s="7"/>
      <c r="T18" s="188" t="s">
        <v>51</v>
      </c>
      <c r="U18" s="188">
        <v>1</v>
      </c>
      <c r="V18" s="189">
        <v>23</v>
      </c>
      <c r="W18" s="78"/>
      <c r="X18" s="78">
        <v>39.309889172269166</v>
      </c>
      <c r="Y18" s="78">
        <v>14.061412038272582</v>
      </c>
      <c r="Z18" s="7"/>
      <c r="AA18" s="7"/>
      <c r="AB18" s="190"/>
      <c r="AC18" s="190"/>
      <c r="AD18" s="190"/>
      <c r="AE18" s="190"/>
      <c r="AF18" s="190"/>
      <c r="AG18" s="7"/>
    </row>
    <row r="19" spans="1:33" ht="15.75" customHeight="1">
      <c r="A19" s="7"/>
      <c r="B19" s="7" t="s">
        <v>208</v>
      </c>
      <c r="C19" s="188" t="s">
        <v>48</v>
      </c>
      <c r="D19" s="188">
        <v>1</v>
      </c>
      <c r="E19" s="188">
        <v>0.24918490486837655</v>
      </c>
      <c r="F19" s="188">
        <v>0</v>
      </c>
      <c r="G19" s="188">
        <v>1.2701572453101623E-2</v>
      </c>
      <c r="H19" s="188">
        <v>0.10696090639302361</v>
      </c>
      <c r="I19" s="188">
        <v>0.36609160024815723</v>
      </c>
      <c r="J19" s="188">
        <v>2.0110906815196453E-2</v>
      </c>
      <c r="K19" s="188">
        <v>1.4230240200262713E-2</v>
      </c>
      <c r="L19" s="188">
        <v>1.3993019271587004E-2</v>
      </c>
      <c r="M19" s="188">
        <v>0.17924312853393848</v>
      </c>
      <c r="N19" s="188">
        <v>7.7366188297931793E-3</v>
      </c>
      <c r="O19" s="188">
        <v>1.8384420937682062E-2</v>
      </c>
      <c r="P19" s="188">
        <v>9.3557521853475465E-3</v>
      </c>
      <c r="Q19" s="188">
        <v>2.0069292635335545E-3</v>
      </c>
      <c r="R19" s="188">
        <v>0</v>
      </c>
      <c r="S19" s="7"/>
      <c r="T19" s="188" t="s">
        <v>48</v>
      </c>
      <c r="U19" s="188">
        <v>1</v>
      </c>
      <c r="V19" s="189">
        <v>23</v>
      </c>
      <c r="W19" s="78"/>
      <c r="X19" s="78">
        <v>38.317344870579902</v>
      </c>
      <c r="Y19" s="78">
        <v>14.633516804288309</v>
      </c>
      <c r="Z19" s="7"/>
      <c r="AA19" s="7"/>
      <c r="AB19" s="190"/>
      <c r="AC19" s="190"/>
      <c r="AD19" s="190"/>
      <c r="AE19" s="190"/>
      <c r="AF19" s="190"/>
      <c r="AG19" s="7"/>
    </row>
    <row r="20" spans="1:33" ht="15.75" customHeight="1">
      <c r="A20" s="7"/>
      <c r="B20" s="7" t="s">
        <v>209</v>
      </c>
      <c r="C20" s="188" t="s">
        <v>52</v>
      </c>
      <c r="D20" s="188">
        <v>0.99453721893833669</v>
      </c>
      <c r="E20" s="188">
        <v>0.28995150902898054</v>
      </c>
      <c r="F20" s="188">
        <v>0</v>
      </c>
      <c r="G20" s="188">
        <v>8.1552883780432323E-3</v>
      </c>
      <c r="H20" s="188">
        <v>9.3521708635278672E-2</v>
      </c>
      <c r="I20" s="188">
        <v>0.36909686342898274</v>
      </c>
      <c r="J20" s="188">
        <v>3.692364951639468E-2</v>
      </c>
      <c r="K20" s="188">
        <v>1.7370485975582335E-2</v>
      </c>
      <c r="L20" s="188">
        <v>0</v>
      </c>
      <c r="M20" s="188">
        <v>0.14572633720368319</v>
      </c>
      <c r="N20" s="188">
        <v>4.9007757511851926E-3</v>
      </c>
      <c r="O20" s="188">
        <v>9.7458975724202968E-3</v>
      </c>
      <c r="P20" s="188">
        <v>1.1521605774890288E-2</v>
      </c>
      <c r="Q20" s="188">
        <v>7.6230976728955176E-3</v>
      </c>
      <c r="R20" s="188">
        <v>5.4627810616633124E-3</v>
      </c>
      <c r="S20" s="7"/>
      <c r="T20" s="188" t="s">
        <v>52</v>
      </c>
      <c r="U20" s="188">
        <v>1</v>
      </c>
      <c r="V20" s="189">
        <v>23</v>
      </c>
      <c r="W20" s="78"/>
      <c r="X20" s="78">
        <v>39.060378749838819</v>
      </c>
      <c r="Y20" s="78">
        <v>13.929570349176236</v>
      </c>
      <c r="Z20" s="7"/>
      <c r="AA20" s="7"/>
      <c r="AB20" s="190"/>
      <c r="AC20" s="190"/>
      <c r="AD20" s="190"/>
      <c r="AE20" s="190"/>
      <c r="AF20" s="190"/>
      <c r="AG20" s="7"/>
    </row>
    <row r="21" spans="1:33" ht="15.75" customHeight="1">
      <c r="A21" s="7"/>
      <c r="B21" s="7" t="s">
        <v>210</v>
      </c>
      <c r="C21" s="188" t="s">
        <v>53</v>
      </c>
      <c r="D21" s="188">
        <v>0.98863413936985611</v>
      </c>
      <c r="E21" s="188">
        <v>0.21259200343003079</v>
      </c>
      <c r="F21" s="188">
        <v>0</v>
      </c>
      <c r="G21" s="188">
        <v>1.702121710168612E-2</v>
      </c>
      <c r="H21" s="188">
        <v>0.11208417867229224</v>
      </c>
      <c r="I21" s="188">
        <v>0.41396339436344037</v>
      </c>
      <c r="J21" s="188">
        <v>3.7564118895306385E-2</v>
      </c>
      <c r="K21" s="188">
        <v>9.2026731870392068E-3</v>
      </c>
      <c r="L21" s="188">
        <v>1.4103050055458378E-2</v>
      </c>
      <c r="M21" s="188">
        <v>0.13579613065186119</v>
      </c>
      <c r="N21" s="188">
        <v>0</v>
      </c>
      <c r="O21" s="188">
        <v>1.9168869985055754E-2</v>
      </c>
      <c r="P21" s="188">
        <v>9.8403668641627029E-3</v>
      </c>
      <c r="Q21" s="188">
        <v>7.2981361635229896E-3</v>
      </c>
      <c r="R21" s="188">
        <v>1.1365860630143882E-2</v>
      </c>
      <c r="S21" s="7"/>
      <c r="T21" s="188" t="s">
        <v>53</v>
      </c>
      <c r="U21" s="188">
        <v>1</v>
      </c>
      <c r="V21" s="189">
        <v>23</v>
      </c>
      <c r="W21" s="78"/>
      <c r="X21" s="78">
        <v>37.626307466220098</v>
      </c>
      <c r="Y21" s="78">
        <v>14.495603564249384</v>
      </c>
      <c r="Z21" s="7"/>
      <c r="AA21" s="7"/>
      <c r="AB21" s="190"/>
      <c r="AC21" s="190"/>
      <c r="AD21" s="190"/>
      <c r="AE21" s="190"/>
      <c r="AF21" s="190"/>
      <c r="AG21" s="7"/>
    </row>
    <row r="22" spans="1:33" ht="15.75" customHeight="1">
      <c r="A22" s="7"/>
      <c r="B22" s="7" t="s">
        <v>211</v>
      </c>
      <c r="C22" s="188" t="s">
        <v>54</v>
      </c>
      <c r="D22" s="188">
        <v>1</v>
      </c>
      <c r="E22" s="188">
        <v>0.37653723538450951</v>
      </c>
      <c r="F22" s="188">
        <v>0</v>
      </c>
      <c r="G22" s="188">
        <v>4.5962248572280449E-3</v>
      </c>
      <c r="H22" s="188">
        <v>6.1067406710855254E-2</v>
      </c>
      <c r="I22" s="188">
        <v>0.3508497511524965</v>
      </c>
      <c r="J22" s="188">
        <v>2.3242586179216072E-2</v>
      </c>
      <c r="K22" s="188">
        <v>1.3531799729364006E-2</v>
      </c>
      <c r="L22" s="188">
        <v>1.789867204880622E-2</v>
      </c>
      <c r="M22" s="188">
        <v>0.13887754868007615</v>
      </c>
      <c r="N22" s="188">
        <v>1.2201555010206188E-3</v>
      </c>
      <c r="O22" s="188">
        <v>3.5320290819017915E-4</v>
      </c>
      <c r="P22" s="188">
        <v>4.0503658172977687E-3</v>
      </c>
      <c r="Q22" s="188">
        <v>7.7750510309396569E-3</v>
      </c>
      <c r="R22" s="188">
        <v>0</v>
      </c>
      <c r="S22" s="7"/>
      <c r="T22" s="188" t="s">
        <v>54</v>
      </c>
      <c r="U22" s="188">
        <v>1</v>
      </c>
      <c r="V22" s="189">
        <v>23</v>
      </c>
      <c r="W22" s="78"/>
      <c r="X22" s="78">
        <v>40.148516777138141</v>
      </c>
      <c r="Y22" s="78">
        <v>15.996523932937317</v>
      </c>
      <c r="Z22" s="7"/>
      <c r="AA22" s="7"/>
      <c r="AB22" s="190"/>
      <c r="AC22" s="190"/>
      <c r="AD22" s="190"/>
      <c r="AE22" s="190"/>
      <c r="AF22" s="190"/>
      <c r="AG22" s="7"/>
    </row>
    <row r="23" spans="1:33" ht="15.75" customHeight="1">
      <c r="A23" s="7"/>
      <c r="B23" s="7" t="s">
        <v>212</v>
      </c>
      <c r="C23" s="188" t="s">
        <v>57</v>
      </c>
      <c r="D23" s="188">
        <v>1</v>
      </c>
      <c r="E23" s="188">
        <v>0.30613086944170126</v>
      </c>
      <c r="F23" s="188">
        <v>0</v>
      </c>
      <c r="G23" s="188">
        <v>0</v>
      </c>
      <c r="H23" s="188">
        <v>8.8126175241135807E-2</v>
      </c>
      <c r="I23" s="188">
        <v>0.40562221831414619</v>
      </c>
      <c r="J23" s="188">
        <v>2.2625505607337563E-2</v>
      </c>
      <c r="K23" s="188">
        <v>6.156910756077434E-3</v>
      </c>
      <c r="L23" s="188">
        <v>5.982738328756375E-3</v>
      </c>
      <c r="M23" s="188">
        <v>0.15072171642699639</v>
      </c>
      <c r="N23" s="188">
        <v>5.3908902747527767E-3</v>
      </c>
      <c r="O23" s="188">
        <v>0</v>
      </c>
      <c r="P23" s="188">
        <v>9.2429756090961976E-3</v>
      </c>
      <c r="Q23" s="188">
        <v>0</v>
      </c>
      <c r="R23" s="188">
        <v>0</v>
      </c>
      <c r="S23" s="7"/>
      <c r="T23" s="188" t="s">
        <v>57</v>
      </c>
      <c r="U23" s="188">
        <v>1</v>
      </c>
      <c r="V23" s="189">
        <v>23</v>
      </c>
      <c r="W23" s="78"/>
      <c r="X23" s="78">
        <v>40.736260839274365</v>
      </c>
      <c r="Y23" s="78">
        <v>14.420660231869158</v>
      </c>
      <c r="Z23" s="7"/>
      <c r="AA23" s="7"/>
      <c r="AB23" s="190"/>
      <c r="AC23" s="190"/>
      <c r="AD23" s="190"/>
      <c r="AE23" s="190"/>
      <c r="AF23" s="190"/>
      <c r="AG23" s="7"/>
    </row>
    <row r="24" spans="1:33" ht="15.75" customHeight="1">
      <c r="A24" s="7"/>
      <c r="B24" s="7" t="s">
        <v>213</v>
      </c>
      <c r="C24" s="188" t="s">
        <v>56</v>
      </c>
      <c r="D24" s="188">
        <v>1</v>
      </c>
      <c r="E24" s="188">
        <v>0.3042869325933541</v>
      </c>
      <c r="F24" s="188">
        <v>0</v>
      </c>
      <c r="G24" s="188">
        <v>0</v>
      </c>
      <c r="H24" s="188">
        <v>8.6935815324699128E-2</v>
      </c>
      <c r="I24" s="188">
        <v>0.40275941646084651</v>
      </c>
      <c r="J24" s="188">
        <v>2.1043495596472346E-2</v>
      </c>
      <c r="K24" s="188">
        <v>7.4236216762100767E-3</v>
      </c>
      <c r="L24" s="188">
        <v>5.7733686004867186E-3</v>
      </c>
      <c r="M24" s="188">
        <v>0.15648607856976723</v>
      </c>
      <c r="N24" s="188">
        <v>2.0791779141969089E-3</v>
      </c>
      <c r="O24" s="188">
        <v>4.3748319792666192E-3</v>
      </c>
      <c r="P24" s="188">
        <v>8.8372612847003717E-3</v>
      </c>
      <c r="Q24" s="188">
        <v>0</v>
      </c>
      <c r="R24" s="188">
        <v>0</v>
      </c>
      <c r="S24" s="7"/>
      <c r="T24" s="188" t="s">
        <v>56</v>
      </c>
      <c r="U24" s="188">
        <v>1</v>
      </c>
      <c r="V24" s="189">
        <v>23</v>
      </c>
      <c r="W24" s="78"/>
      <c r="X24" s="78">
        <v>40.719484363877278</v>
      </c>
      <c r="Y24" s="78">
        <v>14.382318932802781</v>
      </c>
      <c r="Z24" s="7"/>
      <c r="AA24" s="7"/>
      <c r="AB24" s="190"/>
      <c r="AC24" s="190"/>
      <c r="AD24" s="190"/>
      <c r="AE24" s="190"/>
      <c r="AF24" s="190"/>
      <c r="AG24" s="7"/>
    </row>
    <row r="25" spans="1:33" ht="15.75" customHeight="1">
      <c r="A25" s="7"/>
      <c r="B25" s="7" t="s">
        <v>214</v>
      </c>
      <c r="C25" s="188" t="s">
        <v>55</v>
      </c>
      <c r="D25" s="188">
        <v>1</v>
      </c>
      <c r="E25" s="188">
        <v>0.30490357559536063</v>
      </c>
      <c r="F25" s="188">
        <v>0</v>
      </c>
      <c r="G25" s="188">
        <v>0</v>
      </c>
      <c r="H25" s="188">
        <v>8.7090796788140828E-2</v>
      </c>
      <c r="I25" s="188">
        <v>0.40493102738315834</v>
      </c>
      <c r="J25" s="188">
        <v>2.1369501063756777E-2</v>
      </c>
      <c r="K25" s="188">
        <v>7.1632008784572095E-3</v>
      </c>
      <c r="L25" s="188">
        <v>5.9450277949351449E-3</v>
      </c>
      <c r="M25" s="188">
        <v>0.15448064648960264</v>
      </c>
      <c r="N25" s="188">
        <v>5.2244183652460363E-3</v>
      </c>
      <c r="O25" s="188">
        <v>0</v>
      </c>
      <c r="P25" s="188">
        <v>8.8918056413423933E-3</v>
      </c>
      <c r="Q25" s="188">
        <v>0</v>
      </c>
      <c r="R25" s="188">
        <v>0</v>
      </c>
      <c r="S25" s="7"/>
      <c r="T25" s="188" t="s">
        <v>55</v>
      </c>
      <c r="U25" s="188">
        <v>1</v>
      </c>
      <c r="V25" s="189">
        <v>23</v>
      </c>
      <c r="W25" s="78"/>
      <c r="X25" s="78">
        <v>40.760800133827466</v>
      </c>
      <c r="Y25" s="78">
        <v>14.40465951204447</v>
      </c>
      <c r="Z25" s="7"/>
      <c r="AA25" s="7"/>
      <c r="AB25" s="190"/>
      <c r="AC25" s="190"/>
      <c r="AD25" s="190"/>
      <c r="AE25" s="190"/>
      <c r="AF25" s="190"/>
      <c r="AG25" s="7"/>
    </row>
    <row r="26" spans="1:33" ht="15.75" customHeight="1">
      <c r="A26" s="7"/>
      <c r="B26" s="7" t="s">
        <v>217</v>
      </c>
      <c r="C26" s="188" t="s">
        <v>60</v>
      </c>
      <c r="D26" s="188">
        <v>1</v>
      </c>
      <c r="E26" s="188">
        <v>0.36940657288476608</v>
      </c>
      <c r="F26" s="188">
        <v>0</v>
      </c>
      <c r="G26" s="188">
        <v>4.1018002345473851E-3</v>
      </c>
      <c r="H26" s="188">
        <v>6.0465426492738478E-2</v>
      </c>
      <c r="I26" s="188">
        <v>0.35462230645672266</v>
      </c>
      <c r="J26" s="188">
        <v>2.0909176805375691E-2</v>
      </c>
      <c r="K26" s="188">
        <v>1.308907798422641E-2</v>
      </c>
      <c r="L26" s="188">
        <v>1.7007464387147692E-2</v>
      </c>
      <c r="M26" s="188">
        <v>0.14252922115817498</v>
      </c>
      <c r="N26" s="188">
        <v>4.9354994692114877E-3</v>
      </c>
      <c r="O26" s="188">
        <v>3.1680570917235899E-4</v>
      </c>
      <c r="P26" s="188">
        <v>4.6742737090167347E-3</v>
      </c>
      <c r="Q26" s="188">
        <v>7.9423747089000171E-3</v>
      </c>
      <c r="R26" s="188">
        <v>0</v>
      </c>
      <c r="S26" s="7"/>
      <c r="T26" s="188" t="s">
        <v>60</v>
      </c>
      <c r="U26" s="188">
        <v>1</v>
      </c>
      <c r="V26" s="189">
        <v>23</v>
      </c>
      <c r="W26" s="78"/>
      <c r="X26" s="78">
        <v>40.135334952562509</v>
      </c>
      <c r="Y26" s="78">
        <v>15.798469884004644</v>
      </c>
      <c r="Z26" s="7"/>
      <c r="AA26" s="7"/>
      <c r="AB26" s="190"/>
      <c r="AC26" s="190"/>
      <c r="AD26" s="190"/>
      <c r="AE26" s="190"/>
      <c r="AF26" s="190"/>
      <c r="AG26" s="7"/>
    </row>
    <row r="27" spans="1:33" ht="15.75" customHeight="1">
      <c r="A27" s="7"/>
      <c r="B27" s="7" t="s">
        <v>218</v>
      </c>
      <c r="C27" s="188" t="s">
        <v>59</v>
      </c>
      <c r="D27" s="188">
        <v>0.99333353379841238</v>
      </c>
      <c r="E27" s="188">
        <v>0.28459526100553284</v>
      </c>
      <c r="F27" s="188">
        <v>0</v>
      </c>
      <c r="G27" s="188">
        <v>9.9518883810440217E-3</v>
      </c>
      <c r="H27" s="188">
        <v>9.2281693528987255E-2</v>
      </c>
      <c r="I27" s="188">
        <v>0.36946896800577339</v>
      </c>
      <c r="J27" s="188">
        <v>4.2653355785422183E-2</v>
      </c>
      <c r="K27" s="188">
        <v>1.4918210247774838E-2</v>
      </c>
      <c r="L27" s="188">
        <v>0</v>
      </c>
      <c r="M27" s="188">
        <v>0.14383269184508057</v>
      </c>
      <c r="N27" s="188">
        <v>6.2100072167428433E-3</v>
      </c>
      <c r="O27" s="188">
        <v>1.1893192205917729E-2</v>
      </c>
      <c r="P27" s="188">
        <v>1.0793240317536685E-2</v>
      </c>
      <c r="Q27" s="188">
        <v>6.7350252585999517E-3</v>
      </c>
      <c r="R27" s="188">
        <v>6.6664662015876834E-3</v>
      </c>
      <c r="S27" s="7"/>
      <c r="T27" s="188" t="s">
        <v>59</v>
      </c>
      <c r="U27" s="188">
        <v>1</v>
      </c>
      <c r="V27" s="189">
        <v>23</v>
      </c>
      <c r="W27" s="78"/>
      <c r="X27" s="78">
        <v>38.958970230935769</v>
      </c>
      <c r="Y27" s="78">
        <v>14.009031693528987</v>
      </c>
      <c r="Z27" s="7"/>
      <c r="AA27" s="7"/>
      <c r="AB27" s="190"/>
      <c r="AC27" s="190"/>
      <c r="AD27" s="190"/>
      <c r="AE27" s="190"/>
      <c r="AF27" s="190"/>
      <c r="AG27" s="7"/>
    </row>
    <row r="28" spans="1:33" ht="15.75" customHeight="1">
      <c r="A28" s="7"/>
      <c r="B28" s="7" t="s">
        <v>219</v>
      </c>
      <c r="C28" s="188" t="s">
        <v>61</v>
      </c>
      <c r="D28" s="188">
        <v>1</v>
      </c>
      <c r="E28" s="188">
        <v>0.29937588379444885</v>
      </c>
      <c r="F28" s="188">
        <v>0</v>
      </c>
      <c r="G28" s="188">
        <v>0</v>
      </c>
      <c r="H28" s="188">
        <v>5.5348668478059686E-2</v>
      </c>
      <c r="I28" s="188">
        <v>0.39066861132293385</v>
      </c>
      <c r="J28" s="188">
        <v>5.2861087872304192E-3</v>
      </c>
      <c r="K28" s="188">
        <v>5.6836774733288416E-2</v>
      </c>
      <c r="L28" s="188">
        <v>3.440042644238956E-2</v>
      </c>
      <c r="M28" s="188">
        <v>0.14252134062826216</v>
      </c>
      <c r="N28" s="188">
        <v>1.4436851729830978E-3</v>
      </c>
      <c r="O28" s="188">
        <v>0</v>
      </c>
      <c r="P28" s="188">
        <v>8.6250934693605577E-3</v>
      </c>
      <c r="Q28" s="188">
        <v>5.493407171043377E-3</v>
      </c>
      <c r="R28" s="188">
        <v>0</v>
      </c>
      <c r="S28" s="7"/>
      <c r="T28" s="188" t="s">
        <v>61</v>
      </c>
      <c r="U28" s="188">
        <v>1</v>
      </c>
      <c r="V28" s="189">
        <v>23</v>
      </c>
      <c r="W28" s="78"/>
      <c r="X28" s="78">
        <v>38.354189278231452</v>
      </c>
      <c r="Y28" s="78">
        <v>15.890697855202079</v>
      </c>
      <c r="Z28" s="7"/>
      <c r="AA28" s="7"/>
      <c r="AB28" s="190"/>
      <c r="AC28" s="190"/>
      <c r="AD28" s="190"/>
      <c r="AE28" s="190"/>
      <c r="AF28" s="190"/>
      <c r="AG28" s="7"/>
    </row>
    <row r="29" spans="1:33" ht="15.75" customHeight="1">
      <c r="A29" s="7"/>
      <c r="B29" s="7" t="s">
        <v>220</v>
      </c>
      <c r="C29" s="188" t="s">
        <v>64</v>
      </c>
      <c r="D29" s="188">
        <v>0.99222760898537832</v>
      </c>
      <c r="E29" s="188">
        <v>0.28690823402159427</v>
      </c>
      <c r="F29" s="188">
        <v>0</v>
      </c>
      <c r="G29" s="188">
        <v>1.160353852394105E-2</v>
      </c>
      <c r="H29" s="188">
        <v>9.290363703088482E-2</v>
      </c>
      <c r="I29" s="188">
        <v>0.3614847507388021</v>
      </c>
      <c r="J29" s="188">
        <v>4.8543642439109191E-2</v>
      </c>
      <c r="K29" s="188">
        <v>1.429606165375775E-2</v>
      </c>
      <c r="L29" s="188">
        <v>0</v>
      </c>
      <c r="M29" s="188">
        <v>0.14016186042918125</v>
      </c>
      <c r="N29" s="188">
        <v>6.1769648272265469E-3</v>
      </c>
      <c r="O29" s="188">
        <v>1.386630096768586E-2</v>
      </c>
      <c r="P29" s="188">
        <v>1.097193517856798E-2</v>
      </c>
      <c r="Q29" s="188">
        <v>5.3106831746277021E-3</v>
      </c>
      <c r="R29" s="188">
        <v>7.772391014621521E-3</v>
      </c>
      <c r="S29" s="7"/>
      <c r="T29" s="188" t="s">
        <v>64</v>
      </c>
      <c r="U29" s="188">
        <v>0.99999999999999989</v>
      </c>
      <c r="V29" s="189">
        <v>23</v>
      </c>
      <c r="W29" s="78"/>
      <c r="X29" s="78">
        <v>38.788453151256441</v>
      </c>
      <c r="Y29" s="78">
        <v>14.15908784501574</v>
      </c>
      <c r="Z29" s="7"/>
      <c r="AA29" s="7"/>
      <c r="AB29" s="190"/>
      <c r="AC29" s="190"/>
      <c r="AD29" s="190"/>
      <c r="AE29" s="190"/>
      <c r="AF29" s="190"/>
      <c r="AG29" s="7"/>
    </row>
    <row r="30" spans="1:33" ht="15.75" customHeight="1">
      <c r="A30" s="7"/>
      <c r="B30" s="7" t="s">
        <v>221</v>
      </c>
      <c r="C30" s="188" t="s">
        <v>68</v>
      </c>
      <c r="D30" s="188">
        <v>1.0000000000000002</v>
      </c>
      <c r="E30" s="188">
        <v>0.30359806370732334</v>
      </c>
      <c r="F30" s="188">
        <v>0</v>
      </c>
      <c r="G30" s="188">
        <v>0</v>
      </c>
      <c r="H30" s="188">
        <v>5.3995357533941551E-2</v>
      </c>
      <c r="I30" s="188">
        <v>0.39168138407713449</v>
      </c>
      <c r="J30" s="188">
        <v>5.9098409909621374E-3</v>
      </c>
      <c r="K30" s="188">
        <v>5.5409144011005267E-2</v>
      </c>
      <c r="L30" s="188">
        <v>3.8690775767669279E-2</v>
      </c>
      <c r="M30" s="188">
        <v>0.1353742492595541</v>
      </c>
      <c r="N30" s="188">
        <v>1.61357723056463E-3</v>
      </c>
      <c r="O30" s="188">
        <v>0</v>
      </c>
      <c r="P30" s="188">
        <v>8.10296391870499E-3</v>
      </c>
      <c r="Q30" s="188">
        <v>5.6246435031402225E-3</v>
      </c>
      <c r="R30" s="188">
        <v>0</v>
      </c>
      <c r="S30" s="7"/>
      <c r="T30" s="188" t="s">
        <v>68</v>
      </c>
      <c r="U30" s="188">
        <v>1.0000000000000002</v>
      </c>
      <c r="V30" s="189">
        <v>23</v>
      </c>
      <c r="W30" s="78"/>
      <c r="X30" s="78">
        <v>38.200770948289275</v>
      </c>
      <c r="Y30" s="78">
        <v>16.25744411196823</v>
      </c>
      <c r="Z30" s="7"/>
      <c r="AA30" s="7"/>
      <c r="AB30" s="190"/>
      <c r="AC30" s="190"/>
      <c r="AD30" s="190"/>
      <c r="AE30" s="190"/>
      <c r="AF30" s="190"/>
      <c r="AG30" s="7"/>
    </row>
    <row r="31" spans="1:33" ht="15.75" customHeight="1">
      <c r="A31" s="7"/>
      <c r="B31" s="7" t="s">
        <v>222</v>
      </c>
      <c r="C31" s="188" t="s">
        <v>65</v>
      </c>
      <c r="D31" s="188">
        <v>1</v>
      </c>
      <c r="E31" s="188">
        <v>0.30522480650688305</v>
      </c>
      <c r="F31" s="188">
        <v>0</v>
      </c>
      <c r="G31" s="188">
        <v>0</v>
      </c>
      <c r="H31" s="188">
        <v>8.7283612659274867E-2</v>
      </c>
      <c r="I31" s="188">
        <v>0.40610118754554225</v>
      </c>
      <c r="J31" s="188">
        <v>2.1777576461783878E-2</v>
      </c>
      <c r="K31" s="188">
        <v>6.818047541209603E-3</v>
      </c>
      <c r="L31" s="188">
        <v>6.0617996336924194E-3</v>
      </c>
      <c r="M31" s="188">
        <v>0.15236819819997244</v>
      </c>
      <c r="N31" s="188">
        <v>5.3843275498749437E-3</v>
      </c>
      <c r="O31" s="188">
        <v>0</v>
      </c>
      <c r="P31" s="188">
        <v>8.980443901766548E-3</v>
      </c>
      <c r="Q31" s="188">
        <v>0</v>
      </c>
      <c r="R31" s="188">
        <v>0</v>
      </c>
      <c r="S31" s="7"/>
      <c r="T31" s="188" t="s">
        <v>65</v>
      </c>
      <c r="U31" s="188">
        <v>1</v>
      </c>
      <c r="V31" s="189">
        <v>23</v>
      </c>
      <c r="W31" s="78"/>
      <c r="X31" s="78">
        <v>40.745053075211217</v>
      </c>
      <c r="Y31" s="78">
        <v>14.408571597376763</v>
      </c>
      <c r="Z31" s="7"/>
      <c r="AA31" s="7"/>
      <c r="AB31" s="190"/>
      <c r="AC31" s="190"/>
      <c r="AD31" s="190"/>
      <c r="AE31" s="190"/>
      <c r="AF31" s="190"/>
      <c r="AG31" s="7"/>
    </row>
    <row r="32" spans="1:33" ht="15.75" customHeight="1">
      <c r="A32" s="7"/>
      <c r="B32" s="7" t="s">
        <v>223</v>
      </c>
      <c r="C32" s="188" t="s">
        <v>66</v>
      </c>
      <c r="D32" s="188">
        <v>1</v>
      </c>
      <c r="E32" s="188">
        <v>0.30492134292169049</v>
      </c>
      <c r="F32" s="188">
        <v>0</v>
      </c>
      <c r="G32" s="188">
        <v>0</v>
      </c>
      <c r="H32" s="188">
        <v>8.7437210880413105E-2</v>
      </c>
      <c r="I32" s="188">
        <v>0.40365438882498489</v>
      </c>
      <c r="J32" s="188">
        <v>2.1755861007439529E-2</v>
      </c>
      <c r="K32" s="188">
        <v>6.843703709833583E-3</v>
      </c>
      <c r="L32" s="188">
        <v>5.8506632682616003E-3</v>
      </c>
      <c r="M32" s="188">
        <v>0.15384679041053947</v>
      </c>
      <c r="N32" s="188">
        <v>2.1184862753535639E-3</v>
      </c>
      <c r="O32" s="188">
        <v>4.5514353572049223E-3</v>
      </c>
      <c r="P32" s="188">
        <v>9.0201173442788461E-3</v>
      </c>
      <c r="Q32" s="188">
        <v>0</v>
      </c>
      <c r="R32" s="188">
        <v>0</v>
      </c>
      <c r="S32" s="7"/>
      <c r="T32" s="188" t="s">
        <v>66</v>
      </c>
      <c r="U32" s="188">
        <v>1</v>
      </c>
      <c r="V32" s="189">
        <v>23</v>
      </c>
      <c r="W32" s="78"/>
      <c r="X32" s="78">
        <v>40.698670153341993</v>
      </c>
      <c r="Y32" s="78">
        <v>14.389606176711546</v>
      </c>
      <c r="Z32" s="7"/>
      <c r="AA32" s="7"/>
      <c r="AB32" s="190"/>
      <c r="AC32" s="190"/>
      <c r="AD32" s="190"/>
      <c r="AE32" s="190"/>
      <c r="AF32" s="190"/>
      <c r="AG32" s="7"/>
    </row>
    <row r="33" spans="1:33" ht="15.75" customHeight="1">
      <c r="A33" s="7"/>
      <c r="B33" s="7" t="s">
        <v>261</v>
      </c>
      <c r="C33" s="188" t="s">
        <v>67</v>
      </c>
      <c r="D33" s="188">
        <v>0.98686834093153664</v>
      </c>
      <c r="E33" s="188">
        <v>0.29055538099778844</v>
      </c>
      <c r="F33" s="188">
        <v>0</v>
      </c>
      <c r="G33" s="188">
        <v>1.8882488775226195E-2</v>
      </c>
      <c r="H33" s="188">
        <v>6.1746022553066195E-2</v>
      </c>
      <c r="I33" s="188">
        <v>0.39066909942937089</v>
      </c>
      <c r="J33" s="188">
        <v>4.3121494182058025E-2</v>
      </c>
      <c r="K33" s="188">
        <v>8.2741901723014377E-3</v>
      </c>
      <c r="L33" s="188">
        <v>0</v>
      </c>
      <c r="M33" s="188">
        <v>0.13922352550243375</v>
      </c>
      <c r="N33" s="188">
        <v>1.591799625721799E-2</v>
      </c>
      <c r="O33" s="188">
        <v>1.2008763661298749E-2</v>
      </c>
      <c r="P33" s="188">
        <v>1.9727814531181665E-3</v>
      </c>
      <c r="Q33" s="188">
        <v>4.4965979476566872E-3</v>
      </c>
      <c r="R33" s="188">
        <v>1.3131659068463482E-2</v>
      </c>
      <c r="S33" s="7"/>
      <c r="T33" s="188" t="s">
        <v>67</v>
      </c>
      <c r="U33" s="188">
        <v>1.0000000000000002</v>
      </c>
      <c r="V33" s="189">
        <v>23</v>
      </c>
      <c r="W33" s="78"/>
      <c r="X33" s="78">
        <v>39.287468399090436</v>
      </c>
      <c r="Y33" s="78">
        <v>14.166431416506638</v>
      </c>
      <c r="Z33" s="7"/>
      <c r="AA33" s="7"/>
      <c r="AB33" s="190"/>
      <c r="AC33" s="190"/>
      <c r="AD33" s="190"/>
      <c r="AE33" s="190"/>
      <c r="AF33" s="190"/>
      <c r="AG33" s="7"/>
    </row>
    <row r="34" spans="1:33" ht="15.75" customHeight="1">
      <c r="A34" s="7"/>
      <c r="B34" s="7" t="s">
        <v>226</v>
      </c>
      <c r="C34" s="188" t="s">
        <v>62</v>
      </c>
      <c r="D34" s="188">
        <v>0.98678362004371956</v>
      </c>
      <c r="E34" s="188">
        <v>0.21464709535818721</v>
      </c>
      <c r="F34" s="188">
        <v>0</v>
      </c>
      <c r="G34" s="188">
        <v>1.8097787286901208E-2</v>
      </c>
      <c r="H34" s="188">
        <v>0.11355764746447525</v>
      </c>
      <c r="I34" s="188">
        <v>0.42274070521250756</v>
      </c>
      <c r="J34" s="188">
        <v>1.3216379956280626E-2</v>
      </c>
      <c r="K34" s="188">
        <v>9.7937586062847148E-3</v>
      </c>
      <c r="L34" s="188">
        <v>1.5079647504260317E-2</v>
      </c>
      <c r="M34" s="188">
        <v>0.13481171714581891</v>
      </c>
      <c r="N34" s="188">
        <v>6.5103850089847952E-3</v>
      </c>
      <c r="O34" s="188">
        <v>2.1602189063083654E-2</v>
      </c>
      <c r="P34" s="188">
        <v>9.8655927644215359E-3</v>
      </c>
      <c r="Q34" s="188">
        <v>6.860714672513599E-3</v>
      </c>
      <c r="R34" s="188">
        <v>1.3216379956280626E-2</v>
      </c>
      <c r="S34" s="7"/>
      <c r="T34" s="188" t="s">
        <v>62</v>
      </c>
      <c r="U34" s="188">
        <v>1.0000000000000002</v>
      </c>
      <c r="V34" s="189">
        <v>23</v>
      </c>
      <c r="W34" s="78"/>
      <c r="X34" s="78">
        <v>37.147941122513707</v>
      </c>
      <c r="Y34" s="78">
        <v>14.044638961521205</v>
      </c>
      <c r="Z34" s="7"/>
      <c r="AA34" s="7"/>
      <c r="AB34" s="190"/>
      <c r="AC34" s="190"/>
      <c r="AD34" s="190"/>
      <c r="AE34" s="190"/>
      <c r="AF34" s="190"/>
      <c r="AG34" s="7"/>
    </row>
    <row r="35" spans="1:33" ht="15.75" customHeight="1">
      <c r="A35" s="7"/>
      <c r="B35" s="7" t="s">
        <v>227</v>
      </c>
      <c r="C35" s="188" t="s">
        <v>63</v>
      </c>
      <c r="D35" s="188">
        <v>0.98664749648618311</v>
      </c>
      <c r="E35" s="188">
        <v>0.20660275173756626</v>
      </c>
      <c r="F35" s="188">
        <v>0</v>
      </c>
      <c r="G35" s="188">
        <v>1.8603886474706968E-2</v>
      </c>
      <c r="H35" s="188">
        <v>0.11397660894121288</v>
      </c>
      <c r="I35" s="188">
        <v>0.40303800079947388</v>
      </c>
      <c r="J35" s="188">
        <v>4.2797642841484955E-2</v>
      </c>
      <c r="K35" s="188">
        <v>1.0064344753774936E-2</v>
      </c>
      <c r="L35" s="188">
        <v>1.3926319454294593E-2</v>
      </c>
      <c r="M35" s="188">
        <v>0.13298667973333678</v>
      </c>
      <c r="N35" s="188">
        <v>6.6150017407899317E-3</v>
      </c>
      <c r="O35" s="188">
        <v>2.1956518935926036E-2</v>
      </c>
      <c r="P35" s="188">
        <v>1.0264213227424534E-2</v>
      </c>
      <c r="Q35" s="188">
        <v>5.8155278461915387E-3</v>
      </c>
      <c r="R35" s="188">
        <v>1.3352503513816715E-2</v>
      </c>
      <c r="S35" s="7"/>
      <c r="T35" s="188" t="s">
        <v>63</v>
      </c>
      <c r="U35" s="188">
        <v>0.99999999999999978</v>
      </c>
      <c r="V35" s="189">
        <v>23</v>
      </c>
      <c r="W35" s="78"/>
      <c r="X35" s="78">
        <v>37.020931387087202</v>
      </c>
      <c r="Y35" s="78">
        <v>14.47473759203621</v>
      </c>
      <c r="Z35" s="7"/>
      <c r="AA35" s="7"/>
      <c r="AB35" s="190"/>
      <c r="AC35" s="190"/>
      <c r="AD35" s="190"/>
      <c r="AE35" s="190"/>
      <c r="AF35" s="190"/>
      <c r="AG35" s="7"/>
    </row>
    <row r="36" spans="1:33" ht="15.75" customHeight="1">
      <c r="A36" s="7"/>
      <c r="B36" s="7" t="s">
        <v>228</v>
      </c>
      <c r="C36" s="188" t="s">
        <v>69</v>
      </c>
      <c r="D36" s="188">
        <v>0.99241841583400114</v>
      </c>
      <c r="E36" s="188">
        <v>0.27764957290957964</v>
      </c>
      <c r="F36" s="188">
        <v>0</v>
      </c>
      <c r="G36" s="188">
        <v>1.0513793336695132E-2</v>
      </c>
      <c r="H36" s="188">
        <v>8.2663031438307111E-2</v>
      </c>
      <c r="I36" s="188">
        <v>0.36851495219099695</v>
      </c>
      <c r="J36" s="188">
        <v>4.8073664194945208E-2</v>
      </c>
      <c r="K36" s="188">
        <v>9.4161385671936871E-3</v>
      </c>
      <c r="L36" s="188">
        <v>4.9353307047358779E-4</v>
      </c>
      <c r="M36" s="188">
        <v>0.15296608364866601</v>
      </c>
      <c r="N36" s="188">
        <v>9.1767088179936646E-3</v>
      </c>
      <c r="O36" s="188">
        <v>2.2637384897458573E-2</v>
      </c>
      <c r="P36" s="188">
        <v>7.7002253645935296E-3</v>
      </c>
      <c r="Q36" s="188">
        <v>2.6133273970979968E-3</v>
      </c>
      <c r="R36" s="188">
        <v>7.5815841659989001E-3</v>
      </c>
      <c r="S36" s="7"/>
      <c r="T36" s="188" t="s">
        <v>69</v>
      </c>
      <c r="U36" s="188">
        <v>1</v>
      </c>
      <c r="V36" s="189">
        <v>23</v>
      </c>
      <c r="W36" s="78"/>
      <c r="X36" s="78">
        <v>39.022538910913163</v>
      </c>
      <c r="Y36" s="78">
        <v>14.143339647741218</v>
      </c>
      <c r="Z36" s="7"/>
      <c r="AA36" s="7"/>
      <c r="AB36" s="7"/>
      <c r="AC36" s="7"/>
      <c r="AD36" s="7"/>
      <c r="AE36" s="7"/>
      <c r="AF36" s="7"/>
      <c r="AG36" s="7"/>
    </row>
    <row r="37" spans="1:33" ht="15.75" customHeight="1">
      <c r="A37" s="7"/>
      <c r="B37" s="7" t="s">
        <v>229</v>
      </c>
      <c r="C37" s="188" t="s">
        <v>70</v>
      </c>
      <c r="D37" s="188">
        <v>0.99999999999999989</v>
      </c>
      <c r="E37" s="188">
        <v>0.334065584603778</v>
      </c>
      <c r="F37" s="188">
        <v>0</v>
      </c>
      <c r="G37" s="188">
        <v>1.6162153811108491E-2</v>
      </c>
      <c r="H37" s="188">
        <v>8.1213356894683245E-2</v>
      </c>
      <c r="I37" s="188">
        <v>0.34878992470366943</v>
      </c>
      <c r="J37" s="188">
        <v>4.5823968749259945E-2</v>
      </c>
      <c r="K37" s="188">
        <v>8.3336810399170912E-3</v>
      </c>
      <c r="L37" s="188">
        <v>0</v>
      </c>
      <c r="M37" s="188">
        <v>0.12161761372542607</v>
      </c>
      <c r="N37" s="188">
        <v>1.0198891924899889E-2</v>
      </c>
      <c r="O37" s="188">
        <v>2.8359324870343035E-2</v>
      </c>
      <c r="P37" s="188">
        <v>3.6751646155737216E-3</v>
      </c>
      <c r="Q37" s="188">
        <v>1.7603350613410798E-3</v>
      </c>
      <c r="R37" s="188">
        <v>0</v>
      </c>
      <c r="S37" s="7"/>
      <c r="T37" s="188" t="s">
        <v>70</v>
      </c>
      <c r="U37" s="188">
        <v>0.99999999999999989</v>
      </c>
      <c r="V37" s="189">
        <v>23</v>
      </c>
      <c r="W37" s="78"/>
      <c r="X37" s="78">
        <v>38.683704214091023</v>
      </c>
      <c r="Y37" s="78">
        <v>14.22796102227991</v>
      </c>
      <c r="Z37" s="7"/>
      <c r="AA37" s="7"/>
      <c r="AB37" s="7"/>
      <c r="AC37" s="7"/>
      <c r="AD37" s="7"/>
      <c r="AE37" s="7"/>
      <c r="AF37" s="7"/>
      <c r="AG37" s="7"/>
    </row>
    <row r="38" spans="1:33" ht="15.75" customHeight="1">
      <c r="A38" s="7"/>
      <c r="B38" s="7" t="s">
        <v>230</v>
      </c>
      <c r="C38" s="188" t="s">
        <v>71</v>
      </c>
      <c r="D38" s="188">
        <v>0.9999503241067631</v>
      </c>
      <c r="E38" s="188">
        <v>0.34120019991702988</v>
      </c>
      <c r="F38" s="188">
        <v>0</v>
      </c>
      <c r="G38" s="188">
        <v>1.2166422584860457E-2</v>
      </c>
      <c r="H38" s="188">
        <v>9.4485824168573443E-2</v>
      </c>
      <c r="I38" s="188">
        <v>0.38891636020558995</v>
      </c>
      <c r="J38" s="188">
        <v>4.9675893237025302E-5</v>
      </c>
      <c r="K38" s="188">
        <v>7.804424112299372E-3</v>
      </c>
      <c r="L38" s="188">
        <v>1.3257396209615585E-2</v>
      </c>
      <c r="M38" s="188">
        <v>0.11444946596518744</v>
      </c>
      <c r="N38" s="188">
        <v>1.9871115705393891E-2</v>
      </c>
      <c r="O38" s="188">
        <v>0</v>
      </c>
      <c r="P38" s="188">
        <v>5.8587217596338999E-4</v>
      </c>
      <c r="Q38" s="188">
        <v>7.1635671690125566E-3</v>
      </c>
      <c r="R38" s="188">
        <v>4.9675893237025302E-5</v>
      </c>
      <c r="S38" s="7"/>
      <c r="T38" s="188" t="s">
        <v>71</v>
      </c>
      <c r="U38" s="188">
        <v>1.0000000000000002</v>
      </c>
      <c r="V38" s="189">
        <v>23</v>
      </c>
      <c r="W38" s="78"/>
      <c r="X38" s="78">
        <v>38.523291206153438</v>
      </c>
      <c r="Y38" s="78">
        <v>14.493839013702203</v>
      </c>
      <c r="Z38" s="7"/>
      <c r="AA38" s="7"/>
      <c r="AB38" s="7"/>
      <c r="AC38" s="7"/>
      <c r="AD38" s="7"/>
      <c r="AE38" s="7"/>
      <c r="AF38" s="7"/>
      <c r="AG38" s="7"/>
    </row>
    <row r="39" spans="1:33" ht="15.75" customHeight="1">
      <c r="A39" s="7"/>
      <c r="B39" s="7" t="s">
        <v>231</v>
      </c>
      <c r="C39" s="188" t="s">
        <v>72</v>
      </c>
      <c r="D39" s="188">
        <v>0.99227088321319579</v>
      </c>
      <c r="E39" s="188">
        <v>0.19694216560518851</v>
      </c>
      <c r="F39" s="188">
        <v>0</v>
      </c>
      <c r="G39" s="188">
        <v>2.7527023853469485E-3</v>
      </c>
      <c r="H39" s="188">
        <v>0.12284720170663715</v>
      </c>
      <c r="I39" s="188">
        <v>0.3956233026552981</v>
      </c>
      <c r="J39" s="188">
        <v>3.894912842495718E-2</v>
      </c>
      <c r="K39" s="188">
        <v>8.566487191918765E-3</v>
      </c>
      <c r="L39" s="188">
        <v>9.4697304922712489E-3</v>
      </c>
      <c r="M39" s="188">
        <v>0.14967298030692389</v>
      </c>
      <c r="N39" s="188">
        <v>1.3770172205616129E-2</v>
      </c>
      <c r="O39" s="188">
        <v>4.364280030239491E-2</v>
      </c>
      <c r="P39" s="188">
        <v>7.8873212194113008E-3</v>
      </c>
      <c r="Q39" s="188">
        <v>2.1468907172317473E-3</v>
      </c>
      <c r="R39" s="188">
        <v>7.7291167868041083E-3</v>
      </c>
      <c r="S39" s="7"/>
      <c r="T39" s="188" t="s">
        <v>72</v>
      </c>
      <c r="U39" s="188">
        <v>0.99999999999999989</v>
      </c>
      <c r="V39" s="189">
        <v>23</v>
      </c>
      <c r="W39" s="78"/>
      <c r="X39" s="78">
        <v>36.622500702978748</v>
      </c>
      <c r="Y39" s="78">
        <v>13.582686696284531</v>
      </c>
      <c r="Z39" s="7"/>
      <c r="AA39" s="7"/>
      <c r="AB39" s="7"/>
      <c r="AC39" s="7"/>
      <c r="AD39" s="7"/>
      <c r="AE39" s="7"/>
      <c r="AF39" s="7"/>
      <c r="AG39" s="7"/>
    </row>
    <row r="40" spans="1:33" ht="15.75" customHeight="1">
      <c r="A40" s="7"/>
      <c r="B40" s="7" t="s">
        <v>232</v>
      </c>
      <c r="C40" s="188" t="s">
        <v>73</v>
      </c>
      <c r="D40" s="188">
        <v>1</v>
      </c>
      <c r="E40" s="188">
        <v>0.31084445011808259</v>
      </c>
      <c r="F40" s="188">
        <v>0</v>
      </c>
      <c r="G40" s="188">
        <v>0</v>
      </c>
      <c r="H40" s="188">
        <v>8.859385970511266E-2</v>
      </c>
      <c r="I40" s="188">
        <v>0.41182102508457269</v>
      </c>
      <c r="J40" s="188">
        <v>0</v>
      </c>
      <c r="K40" s="188">
        <v>7.8508967894300122E-3</v>
      </c>
      <c r="L40" s="188">
        <v>5.9360439139592774E-3</v>
      </c>
      <c r="M40" s="188">
        <v>0.16091146996872407</v>
      </c>
      <c r="N40" s="188">
        <v>5.106274334588626E-3</v>
      </c>
      <c r="O40" s="188">
        <v>0</v>
      </c>
      <c r="P40" s="188">
        <v>8.9359800855300948E-3</v>
      </c>
      <c r="Q40" s="188">
        <v>0</v>
      </c>
      <c r="R40" s="188">
        <v>0</v>
      </c>
      <c r="S40" s="7"/>
      <c r="T40" s="188" t="s">
        <v>73</v>
      </c>
      <c r="U40" s="188">
        <v>1</v>
      </c>
      <c r="V40" s="189">
        <v>23</v>
      </c>
      <c r="W40" s="78"/>
      <c r="X40" s="78">
        <v>40.824765430522753</v>
      </c>
      <c r="Y40" s="78">
        <v>14.076894108635988</v>
      </c>
      <c r="Z40" s="7"/>
      <c r="AA40" s="7"/>
      <c r="AB40" s="7"/>
      <c r="AC40" s="7"/>
      <c r="AD40" s="7"/>
      <c r="AE40" s="7"/>
      <c r="AF40" s="7"/>
      <c r="AG40" s="7"/>
    </row>
    <row r="41" spans="1:33" ht="15.75" customHeight="1">
      <c r="A41" s="7"/>
      <c r="B41" s="7" t="s">
        <v>233</v>
      </c>
      <c r="C41" s="188" t="s">
        <v>74</v>
      </c>
      <c r="D41" s="188">
        <v>0.99999999999999989</v>
      </c>
      <c r="E41" s="188">
        <v>0.37632466496661288</v>
      </c>
      <c r="F41" s="188">
        <v>0</v>
      </c>
      <c r="G41" s="188">
        <v>4.585138001208874E-3</v>
      </c>
      <c r="H41" s="188">
        <v>6.104456739830972E-2</v>
      </c>
      <c r="I41" s="188">
        <v>0.35117436042332056</v>
      </c>
      <c r="J41" s="188">
        <v>2.31939313087672E-2</v>
      </c>
      <c r="K41" s="188">
        <v>1.3526514758636476E-2</v>
      </c>
      <c r="L41" s="188">
        <v>1.7950707978211654E-2</v>
      </c>
      <c r="M41" s="188">
        <v>0.13874155486965262</v>
      </c>
      <c r="N41" s="188">
        <v>1.3161706586933429E-3</v>
      </c>
      <c r="O41" s="188">
        <v>3.5407851959413304E-4</v>
      </c>
      <c r="P41" s="188">
        <v>4.0057367873275653E-3</v>
      </c>
      <c r="Q41" s="188">
        <v>7.7825743296649841E-3</v>
      </c>
      <c r="R41" s="188">
        <v>0</v>
      </c>
      <c r="S41" s="7"/>
      <c r="T41" s="188" t="s">
        <v>74</v>
      </c>
      <c r="U41" s="188">
        <v>0.99999999999999989</v>
      </c>
      <c r="V41" s="189">
        <v>23</v>
      </c>
      <c r="W41" s="78"/>
      <c r="X41" s="78">
        <v>40.142542712956775</v>
      </c>
      <c r="Y41" s="78">
        <v>15.995258924388141</v>
      </c>
      <c r="Z41" s="7"/>
      <c r="AA41" s="7"/>
      <c r="AB41" s="7"/>
      <c r="AC41" s="7"/>
      <c r="AD41" s="7"/>
      <c r="AE41" s="7"/>
      <c r="AF41" s="7"/>
      <c r="AG41" s="7"/>
    </row>
    <row r="42" spans="1:33" ht="15.75" customHeight="1">
      <c r="A42" s="7"/>
      <c r="B42" s="7" t="s">
        <v>234</v>
      </c>
      <c r="C42" s="188" t="s">
        <v>75</v>
      </c>
      <c r="D42" s="188">
        <v>1</v>
      </c>
      <c r="E42" s="188">
        <v>0.25079319046252146</v>
      </c>
      <c r="F42" s="188">
        <v>0</v>
      </c>
      <c r="G42" s="188">
        <v>1.4022719595915698E-2</v>
      </c>
      <c r="H42" s="188">
        <v>0.10790222735914184</v>
      </c>
      <c r="I42" s="188">
        <v>0.35823926725054506</v>
      </c>
      <c r="J42" s="188">
        <v>2.3302995163282034E-2</v>
      </c>
      <c r="K42" s="188">
        <v>1.28669126807745E-2</v>
      </c>
      <c r="L42" s="188">
        <v>1.5170916955653625E-2</v>
      </c>
      <c r="M42" s="188">
        <v>0.18079415856706998</v>
      </c>
      <c r="N42" s="188">
        <v>6.7446026057654219E-3</v>
      </c>
      <c r="O42" s="188">
        <v>1.9357863439764238E-2</v>
      </c>
      <c r="P42" s="188">
        <v>9.8032211248022041E-3</v>
      </c>
      <c r="Q42" s="188">
        <v>1.0019247947639495E-3</v>
      </c>
      <c r="R42" s="188">
        <v>0</v>
      </c>
      <c r="S42" s="7"/>
      <c r="T42" s="188" t="s">
        <v>75</v>
      </c>
      <c r="U42" s="188">
        <v>1</v>
      </c>
      <c r="V42" s="189">
        <v>23</v>
      </c>
      <c r="W42" s="78"/>
      <c r="X42" s="78">
        <v>38.291120029322158</v>
      </c>
      <c r="Y42" s="78">
        <v>14.873280314460647</v>
      </c>
      <c r="Z42" s="7"/>
      <c r="AA42" s="7"/>
      <c r="AB42" s="7"/>
      <c r="AC42" s="7"/>
      <c r="AD42" s="7"/>
      <c r="AE42" s="7"/>
      <c r="AF42" s="7"/>
      <c r="AG42" s="7"/>
    </row>
    <row r="43" spans="1:33" ht="15.75" customHeight="1">
      <c r="A43" s="7"/>
      <c r="B43" s="7" t="s">
        <v>235</v>
      </c>
      <c r="C43" s="188" t="s">
        <v>76</v>
      </c>
      <c r="D43" s="188">
        <v>0.98803519343183976</v>
      </c>
      <c r="E43" s="188">
        <v>0.21006949862563168</v>
      </c>
      <c r="F43" s="188">
        <v>0</v>
      </c>
      <c r="G43" s="188">
        <v>1.729783581999976E-2</v>
      </c>
      <c r="H43" s="188">
        <v>0.11141745987924764</v>
      </c>
      <c r="I43" s="188">
        <v>0.41044759995678842</v>
      </c>
      <c r="J43" s="188">
        <v>3.8948038074203883E-2</v>
      </c>
      <c r="K43" s="188">
        <v>9.3553072223355859E-3</v>
      </c>
      <c r="L43" s="188">
        <v>1.4191403296083351E-2</v>
      </c>
      <c r="M43" s="188">
        <v>0.13366422201149908</v>
      </c>
      <c r="N43" s="188">
        <v>6.00520939611816E-3</v>
      </c>
      <c r="O43" s="188">
        <v>1.9926540312803831E-2</v>
      </c>
      <c r="P43" s="188">
        <v>9.7814214209408119E-3</v>
      </c>
      <c r="Q43" s="188">
        <v>6.9306574161875382E-3</v>
      </c>
      <c r="R43" s="188">
        <v>1.1964806568160267E-2</v>
      </c>
      <c r="S43" s="7"/>
      <c r="T43" s="188" t="s">
        <v>76</v>
      </c>
      <c r="U43" s="188">
        <v>1</v>
      </c>
      <c r="V43" s="189">
        <v>23</v>
      </c>
      <c r="W43" s="78"/>
      <c r="X43" s="78">
        <v>37.306149488062793</v>
      </c>
      <c r="Y43" s="78">
        <v>14.439384595071481</v>
      </c>
      <c r="Z43" s="7"/>
      <c r="AA43" s="7"/>
      <c r="AB43" s="7"/>
      <c r="AC43" s="7"/>
      <c r="AD43" s="7"/>
      <c r="AE43" s="7"/>
      <c r="AF43" s="7"/>
      <c r="AG43" s="7"/>
    </row>
    <row r="44" spans="1:33" ht="15.75" customHeight="1">
      <c r="A44" s="7"/>
      <c r="B44" s="7" t="s">
        <v>236</v>
      </c>
      <c r="C44" s="188" t="s">
        <v>77</v>
      </c>
      <c r="D44" s="188">
        <v>1</v>
      </c>
      <c r="E44" s="188">
        <v>0.33454678736156507</v>
      </c>
      <c r="F44" s="188">
        <v>0</v>
      </c>
      <c r="G44" s="188">
        <v>1.6325198546097115E-2</v>
      </c>
      <c r="H44" s="188">
        <v>8.1439333625296026E-2</v>
      </c>
      <c r="I44" s="188">
        <v>0.34783830837595792</v>
      </c>
      <c r="J44" s="188">
        <v>4.608535178659854E-2</v>
      </c>
      <c r="K44" s="188">
        <v>8.3153319394195235E-3</v>
      </c>
      <c r="L44" s="188">
        <v>0</v>
      </c>
      <c r="M44" s="188">
        <v>0.12142242730379414</v>
      </c>
      <c r="N44" s="188">
        <v>1.0152539892863788E-2</v>
      </c>
      <c r="O44" s="188">
        <v>2.8520797926062783E-2</v>
      </c>
      <c r="P44" s="188">
        <v>3.6525059664249695E-3</v>
      </c>
      <c r="Q44" s="188">
        <v>1.7014172759201177E-3</v>
      </c>
      <c r="R44" s="188">
        <v>0</v>
      </c>
      <c r="S44" s="7"/>
      <c r="T44" s="188" t="s">
        <v>77</v>
      </c>
      <c r="U44" s="188">
        <v>1</v>
      </c>
      <c r="V44" s="189">
        <v>23</v>
      </c>
      <c r="W44" s="78"/>
      <c r="X44" s="78">
        <v>38.665042588083686</v>
      </c>
      <c r="Y44" s="78">
        <v>14.23814918070835</v>
      </c>
      <c r="Z44" s="7"/>
      <c r="AA44" s="7"/>
      <c r="AB44" s="7"/>
      <c r="AC44" s="7"/>
      <c r="AD44" s="7"/>
      <c r="AE44" s="7"/>
      <c r="AF44" s="7"/>
      <c r="AG44" s="7"/>
    </row>
    <row r="45" spans="1:33" ht="15.75" customHeight="1">
      <c r="A45" s="7"/>
      <c r="B45" s="7" t="s">
        <v>237</v>
      </c>
      <c r="C45" s="188" t="s">
        <v>78</v>
      </c>
      <c r="D45" s="188">
        <v>0.99999999999999989</v>
      </c>
      <c r="E45" s="188">
        <v>0.30134459862232632</v>
      </c>
      <c r="F45" s="188">
        <v>0</v>
      </c>
      <c r="G45" s="188">
        <v>0</v>
      </c>
      <c r="H45" s="188">
        <v>5.4526369969517284E-2</v>
      </c>
      <c r="I45" s="188">
        <v>0.39157371062453566</v>
      </c>
      <c r="J45" s="188">
        <v>5.5366655892563846E-3</v>
      </c>
      <c r="K45" s="188">
        <v>5.6141073938103955E-2</v>
      </c>
      <c r="L45" s="188">
        <v>3.6541616501220675E-2</v>
      </c>
      <c r="M45" s="188">
        <v>0.1388843016617054</v>
      </c>
      <c r="N45" s="188">
        <v>1.5121382736123404E-3</v>
      </c>
      <c r="O45" s="188">
        <v>0</v>
      </c>
      <c r="P45" s="188">
        <v>8.3280521410118349E-3</v>
      </c>
      <c r="Q45" s="188">
        <v>5.6114726787101377E-3</v>
      </c>
      <c r="R45" s="188">
        <v>0</v>
      </c>
      <c r="S45" s="7"/>
      <c r="T45" s="188" t="s">
        <v>78</v>
      </c>
      <c r="U45" s="188">
        <v>0.99999999999999989</v>
      </c>
      <c r="V45" s="189">
        <v>23</v>
      </c>
      <c r="W45" s="78"/>
      <c r="X45" s="78">
        <v>38.280418326890043</v>
      </c>
      <c r="Y45" s="78">
        <v>16.069607243960974</v>
      </c>
      <c r="Z45" s="7"/>
      <c r="AA45" s="7"/>
      <c r="AB45" s="7"/>
      <c r="AC45" s="7"/>
      <c r="AD45" s="7"/>
      <c r="AE45" s="7"/>
      <c r="AF45" s="7"/>
      <c r="AG45" s="7"/>
    </row>
    <row r="46" spans="1:33" ht="15.75" customHeight="1">
      <c r="A46" s="7"/>
      <c r="B46" s="7" t="s">
        <v>238</v>
      </c>
      <c r="C46" s="188" t="s">
        <v>80</v>
      </c>
      <c r="D46" s="188">
        <v>0.99834163624180416</v>
      </c>
      <c r="E46" s="188">
        <v>0.32413907554342042</v>
      </c>
      <c r="F46" s="188">
        <v>0</v>
      </c>
      <c r="G46" s="188">
        <v>6.7896238171878034E-3</v>
      </c>
      <c r="H46" s="188">
        <v>8.9231868764990632E-2</v>
      </c>
      <c r="I46" s="188">
        <v>0.38655453304359261</v>
      </c>
      <c r="J46" s="188">
        <v>6.9737777346367491E-2</v>
      </c>
      <c r="K46" s="188">
        <v>1.2485674743084737E-4</v>
      </c>
      <c r="L46" s="188">
        <v>0</v>
      </c>
      <c r="M46" s="188">
        <v>0.11742444405478354</v>
      </c>
      <c r="N46" s="188">
        <v>7.6518790353387648E-4</v>
      </c>
      <c r="O46" s="188">
        <v>0</v>
      </c>
      <c r="P46" s="188">
        <v>3.5742690204968596E-3</v>
      </c>
      <c r="Q46" s="188">
        <v>0</v>
      </c>
      <c r="R46" s="188">
        <v>1.6583637581959257E-3</v>
      </c>
      <c r="S46" s="7"/>
      <c r="T46" s="188" t="s">
        <v>80</v>
      </c>
      <c r="U46" s="188">
        <v>1</v>
      </c>
      <c r="V46" s="189">
        <v>23</v>
      </c>
      <c r="W46" s="78"/>
      <c r="X46" s="78">
        <v>40.593304194873596</v>
      </c>
      <c r="Y46" s="78">
        <v>14.92409015048565</v>
      </c>
      <c r="Z46" s="7"/>
      <c r="AA46" s="7"/>
      <c r="AB46" s="7"/>
      <c r="AC46" s="7"/>
      <c r="AD46" s="7"/>
      <c r="AE46" s="7"/>
      <c r="AF46" s="7"/>
      <c r="AG46" s="7"/>
    </row>
    <row r="47" spans="1:33" ht="15.75" customHeight="1">
      <c r="A47" s="7"/>
      <c r="B47" s="7" t="s">
        <v>239</v>
      </c>
      <c r="C47" s="188" t="s">
        <v>79</v>
      </c>
      <c r="D47" s="188">
        <v>0.98710649188760313</v>
      </c>
      <c r="E47" s="188">
        <v>0.20841251106697256</v>
      </c>
      <c r="F47" s="188">
        <v>0</v>
      </c>
      <c r="G47" s="188">
        <v>1.7704171091963185E-2</v>
      </c>
      <c r="H47" s="188">
        <v>0.11080584276451333</v>
      </c>
      <c r="I47" s="188">
        <v>0.40997379746858115</v>
      </c>
      <c r="J47" s="188">
        <v>4.1076303753546956E-2</v>
      </c>
      <c r="K47" s="188">
        <v>9.5807296470687975E-3</v>
      </c>
      <c r="L47" s="188">
        <v>1.4566314971263185E-2</v>
      </c>
      <c r="M47" s="188">
        <v>0.13129205524202864</v>
      </c>
      <c r="N47" s="188">
        <v>6.3569048655277016E-3</v>
      </c>
      <c r="O47" s="188">
        <v>2.1095157158473078E-2</v>
      </c>
      <c r="P47" s="188">
        <v>9.670280335444939E-3</v>
      </c>
      <c r="Q47" s="188">
        <v>6.5724235222196156E-3</v>
      </c>
      <c r="R47" s="188">
        <v>1.2893508112396861E-2</v>
      </c>
      <c r="S47" s="7"/>
      <c r="T47" s="188" t="s">
        <v>79</v>
      </c>
      <c r="U47" s="188">
        <v>1</v>
      </c>
      <c r="V47" s="189">
        <v>23</v>
      </c>
      <c r="W47" s="78"/>
      <c r="X47" s="78">
        <v>37.175535528041607</v>
      </c>
      <c r="Y47" s="78">
        <v>14.481905567008097</v>
      </c>
      <c r="Z47" s="7"/>
      <c r="AA47" s="7"/>
      <c r="AB47" s="7"/>
      <c r="AC47" s="7"/>
      <c r="AD47" s="7"/>
      <c r="AE47" s="7"/>
      <c r="AF47" s="7"/>
      <c r="AG47" s="7"/>
    </row>
    <row r="48" spans="1:33" ht="15.75" customHeight="1">
      <c r="A48" s="7"/>
      <c r="B48" s="7" t="s">
        <v>240</v>
      </c>
      <c r="C48" s="188" t="s">
        <v>81</v>
      </c>
      <c r="D48" s="188">
        <v>0.9999517935406369</v>
      </c>
      <c r="E48" s="188">
        <v>0.30016029067655164</v>
      </c>
      <c r="F48" s="188">
        <v>0</v>
      </c>
      <c r="G48" s="188">
        <v>1.1828051086753319E-2</v>
      </c>
      <c r="H48" s="188">
        <v>7.9465072908490531E-2</v>
      </c>
      <c r="I48" s="188">
        <v>0.37789345834987104</v>
      </c>
      <c r="J48" s="188">
        <v>4.0644931880241715E-2</v>
      </c>
      <c r="K48" s="188">
        <v>8.5698319274235789E-3</v>
      </c>
      <c r="L48" s="188">
        <v>1.2608256674704995E-2</v>
      </c>
      <c r="M48" s="188">
        <v>0.14066376095374211</v>
      </c>
      <c r="N48" s="188">
        <v>1.2970225036822512E-2</v>
      </c>
      <c r="O48" s="188">
        <v>9.6473386759079738E-3</v>
      </c>
      <c r="P48" s="188">
        <v>5.6974324097569203E-4</v>
      </c>
      <c r="Q48" s="188">
        <v>4.9308321291516551E-3</v>
      </c>
      <c r="R48" s="188">
        <v>4.8206459363214505E-5</v>
      </c>
      <c r="S48" s="7"/>
      <c r="T48" s="188" t="s">
        <v>81</v>
      </c>
      <c r="U48" s="188">
        <v>1.0000000000000002</v>
      </c>
      <c r="V48" s="189">
        <v>23</v>
      </c>
      <c r="W48" s="78"/>
      <c r="X48" s="78">
        <v>39.045632637553432</v>
      </c>
      <c r="Y48" s="78">
        <v>15.086509682695677</v>
      </c>
      <c r="Z48" s="7"/>
      <c r="AA48" s="7"/>
      <c r="AB48" s="7"/>
      <c r="AC48" s="7"/>
      <c r="AD48" s="7"/>
      <c r="AE48" s="7"/>
      <c r="AF48" s="7"/>
      <c r="AG48" s="7"/>
    </row>
    <row r="49" spans="1:33" ht="15.75" customHeight="1">
      <c r="A49" s="7"/>
      <c r="B49" s="7" t="s">
        <v>241</v>
      </c>
      <c r="C49" s="188" t="s">
        <v>83</v>
      </c>
      <c r="D49" s="188">
        <v>0.98656396674963076</v>
      </c>
      <c r="E49" s="188">
        <v>0.20766228273906503</v>
      </c>
      <c r="F49" s="188">
        <v>0</v>
      </c>
      <c r="G49" s="188">
        <v>1.8247492009789309E-2</v>
      </c>
      <c r="H49" s="188">
        <v>0.11211946838233765</v>
      </c>
      <c r="I49" s="188">
        <v>0.40815590790285566</v>
      </c>
      <c r="J49" s="188">
        <v>4.2609835065412265E-2</v>
      </c>
      <c r="K49" s="188">
        <v>9.8725032758130611E-3</v>
      </c>
      <c r="L49" s="188">
        <v>1.448290684211621E-2</v>
      </c>
      <c r="M49" s="188">
        <v>0.13145543161003612</v>
      </c>
      <c r="N49" s="188">
        <v>2.1304917532706132E-2</v>
      </c>
      <c r="O49" s="188">
        <v>0</v>
      </c>
      <c r="P49" s="188">
        <v>9.8863691512004383E-3</v>
      </c>
      <c r="Q49" s="188">
        <v>1.0766852238298935E-2</v>
      </c>
      <c r="R49" s="188">
        <v>1.3436033250369179E-2</v>
      </c>
      <c r="S49" s="7"/>
      <c r="T49" s="188" t="s">
        <v>83</v>
      </c>
      <c r="U49" s="188">
        <v>0.99999999999999989</v>
      </c>
      <c r="V49" s="189">
        <v>23</v>
      </c>
      <c r="W49" s="78"/>
      <c r="X49" s="78">
        <v>37.165306193193246</v>
      </c>
      <c r="Y49" s="78">
        <v>14.531492176179812</v>
      </c>
      <c r="Z49" s="7"/>
      <c r="AA49" s="7"/>
      <c r="AB49" s="7"/>
      <c r="AC49" s="7"/>
      <c r="AD49" s="7"/>
      <c r="AE49" s="7"/>
      <c r="AF49" s="7"/>
      <c r="AG49" s="7"/>
    </row>
    <row r="50" spans="1:33" ht="15.75" customHeight="1">
      <c r="A50" s="7"/>
      <c r="B50" s="7" t="s">
        <v>243</v>
      </c>
      <c r="C50" s="188" t="s">
        <v>84</v>
      </c>
      <c r="D50" s="188">
        <v>1</v>
      </c>
      <c r="E50" s="188">
        <v>0.29948064385428563</v>
      </c>
      <c r="F50" s="188">
        <v>0</v>
      </c>
      <c r="G50" s="188">
        <v>0</v>
      </c>
      <c r="H50" s="188">
        <v>5.4955983645806478E-2</v>
      </c>
      <c r="I50" s="188">
        <v>0.39179343622232865</v>
      </c>
      <c r="J50" s="188">
        <v>5.1935614571439097E-3</v>
      </c>
      <c r="K50" s="188">
        <v>5.6805038859626504E-2</v>
      </c>
      <c r="L50" s="188">
        <v>3.4277505617149803E-2</v>
      </c>
      <c r="M50" s="188">
        <v>0.14194261298758701</v>
      </c>
      <c r="N50" s="188">
        <v>1.4217834911046448E-3</v>
      </c>
      <c r="O50" s="188">
        <v>0</v>
      </c>
      <c r="P50" s="188">
        <v>8.5086006851081072E-3</v>
      </c>
      <c r="Q50" s="188">
        <v>5.6208331798592954E-3</v>
      </c>
      <c r="R50" s="188">
        <v>0</v>
      </c>
      <c r="S50" s="7"/>
      <c r="T50" s="188" t="s">
        <v>84</v>
      </c>
      <c r="U50" s="188">
        <v>1</v>
      </c>
      <c r="V50" s="189">
        <v>23</v>
      </c>
      <c r="W50" s="78"/>
      <c r="X50" s="78">
        <v>38.366113669011753</v>
      </c>
      <c r="Y50" s="78">
        <v>15.872161037238943</v>
      </c>
      <c r="Z50" s="7"/>
      <c r="AA50" s="7"/>
      <c r="AB50" s="7"/>
      <c r="AC50" s="7"/>
      <c r="AD50" s="7"/>
      <c r="AE50" s="7"/>
      <c r="AF50" s="7"/>
      <c r="AG50" s="7"/>
    </row>
    <row r="51" spans="1:33" ht="15.75" customHeight="1">
      <c r="A51" s="7"/>
      <c r="B51" s="7"/>
      <c r="C51" s="7"/>
      <c r="D51" s="7"/>
      <c r="E51" s="7"/>
      <c r="F51" s="7"/>
      <c r="G51" s="7"/>
      <c r="H51" s="7"/>
      <c r="I51" s="7"/>
      <c r="J51" s="7"/>
      <c r="K51" s="7"/>
      <c r="L51" s="7"/>
      <c r="M51" s="7"/>
      <c r="N51" s="7"/>
      <c r="O51" s="7"/>
      <c r="P51" s="7"/>
      <c r="Q51" s="7"/>
      <c r="R51" s="7"/>
      <c r="S51" s="7"/>
      <c r="T51" s="7"/>
      <c r="U51" s="190"/>
      <c r="V51" s="7"/>
      <c r="W51" s="7"/>
      <c r="X51" s="7"/>
      <c r="Y51" s="7"/>
      <c r="Z51" s="7"/>
      <c r="AA51" s="7"/>
      <c r="AB51" s="7"/>
      <c r="AC51" s="7"/>
      <c r="AD51" s="7"/>
      <c r="AE51" s="7"/>
      <c r="AF51" s="7"/>
      <c r="AG51" s="7"/>
    </row>
    <row r="52" spans="1:33" ht="15.75" customHeight="1">
      <c r="A52" s="7"/>
      <c r="B52" s="7"/>
      <c r="C52" s="7"/>
      <c r="D52" s="7"/>
      <c r="E52" s="7"/>
      <c r="F52" s="7"/>
      <c r="G52" s="7"/>
      <c r="H52" s="7"/>
      <c r="I52" s="7"/>
      <c r="J52" s="7"/>
      <c r="K52" s="7"/>
      <c r="L52" s="7"/>
      <c r="M52" s="7"/>
      <c r="N52" s="7"/>
      <c r="O52" s="7"/>
      <c r="P52" s="7"/>
      <c r="Q52" s="7"/>
      <c r="R52" s="7"/>
      <c r="S52" s="7"/>
      <c r="T52" s="7"/>
      <c r="U52" s="190"/>
      <c r="V52" s="7"/>
      <c r="W52" s="7"/>
      <c r="X52" s="7"/>
      <c r="Y52" s="7"/>
      <c r="Z52" s="7"/>
      <c r="AA52" s="7"/>
      <c r="AB52" s="7"/>
      <c r="AC52" s="7"/>
      <c r="AD52" s="7"/>
      <c r="AE52" s="7"/>
      <c r="AF52" s="7"/>
      <c r="AG52" s="7"/>
    </row>
    <row r="53" spans="1:33" ht="15.75" customHeight="1">
      <c r="A53" s="7"/>
      <c r="B53" s="7"/>
      <c r="C53" s="7"/>
      <c r="D53" s="7"/>
      <c r="E53" s="7"/>
      <c r="F53" s="7"/>
      <c r="G53" s="7"/>
      <c r="H53" s="7"/>
      <c r="I53" s="7"/>
      <c r="J53" s="7"/>
      <c r="K53" s="7"/>
      <c r="L53" s="7"/>
      <c r="M53" s="7"/>
      <c r="N53" s="7"/>
      <c r="O53" s="7"/>
      <c r="P53" s="7"/>
      <c r="Q53" s="7"/>
      <c r="R53" s="7"/>
      <c r="S53" s="7"/>
      <c r="T53" s="7"/>
      <c r="U53" s="190"/>
      <c r="V53" s="7"/>
      <c r="W53" s="7"/>
      <c r="X53" s="7"/>
      <c r="Y53" s="7"/>
      <c r="Z53" s="7"/>
      <c r="AA53" s="7"/>
      <c r="AB53" s="7"/>
      <c r="AC53" s="7"/>
      <c r="AD53" s="7"/>
      <c r="AE53" s="7"/>
      <c r="AF53" s="7"/>
      <c r="AG53" s="7"/>
    </row>
    <row r="54" spans="1:33" ht="15.75" customHeight="1">
      <c r="A54" s="7"/>
      <c r="B54" s="7"/>
      <c r="C54" s="7"/>
      <c r="D54" s="7"/>
      <c r="E54" s="7"/>
      <c r="F54" s="7"/>
      <c r="G54" s="7"/>
      <c r="H54" s="7"/>
      <c r="I54" s="7"/>
      <c r="J54" s="7"/>
      <c r="K54" s="7"/>
      <c r="L54" s="7"/>
      <c r="M54" s="7"/>
      <c r="N54" s="7"/>
      <c r="O54" s="7"/>
      <c r="P54" s="7"/>
      <c r="Q54" s="7"/>
      <c r="R54" s="7"/>
      <c r="S54" s="7"/>
      <c r="T54" s="7"/>
      <c r="U54" s="190"/>
      <c r="V54" s="7"/>
      <c r="W54" s="7"/>
      <c r="X54" s="7"/>
      <c r="Y54" s="7"/>
      <c r="Z54" s="7"/>
      <c r="AA54" s="7"/>
      <c r="AB54" s="7"/>
      <c r="AC54" s="7"/>
      <c r="AD54" s="7"/>
      <c r="AE54" s="7"/>
      <c r="AF54" s="7"/>
      <c r="AG54" s="7"/>
    </row>
    <row r="55" spans="1:33" ht="15.75" customHeight="1">
      <c r="A55" s="7"/>
      <c r="B55" s="7"/>
      <c r="C55" s="7"/>
      <c r="D55" s="7"/>
      <c r="E55" s="7"/>
      <c r="F55" s="7"/>
      <c r="G55" s="7"/>
      <c r="H55" s="7"/>
      <c r="I55" s="7"/>
      <c r="J55" s="7"/>
      <c r="K55" s="7"/>
      <c r="L55" s="7"/>
      <c r="M55" s="7"/>
      <c r="N55" s="7"/>
      <c r="O55" s="7"/>
      <c r="P55" s="7"/>
      <c r="Q55" s="7"/>
      <c r="R55" s="7"/>
      <c r="S55" s="7"/>
      <c r="T55" s="7"/>
      <c r="U55" s="190"/>
      <c r="V55" s="7"/>
      <c r="W55" s="7"/>
      <c r="X55" s="7"/>
      <c r="Y55" s="7"/>
      <c r="Z55" s="7"/>
      <c r="AA55" s="7"/>
      <c r="AB55" s="7"/>
      <c r="AC55" s="7"/>
      <c r="AD55" s="7"/>
      <c r="AE55" s="7"/>
      <c r="AF55" s="7"/>
      <c r="AG55" s="7"/>
    </row>
    <row r="56" spans="1:33" ht="15.75" customHeight="1">
      <c r="A56" s="7"/>
      <c r="B56" s="7"/>
      <c r="C56" s="7"/>
      <c r="D56" s="7"/>
      <c r="E56" s="7"/>
      <c r="F56" s="7"/>
      <c r="G56" s="7"/>
      <c r="H56" s="7"/>
      <c r="I56" s="7"/>
      <c r="J56" s="7"/>
      <c r="K56" s="7"/>
      <c r="L56" s="7"/>
      <c r="M56" s="7"/>
      <c r="N56" s="7"/>
      <c r="O56" s="7"/>
      <c r="P56" s="7"/>
      <c r="Q56" s="7"/>
      <c r="R56" s="7"/>
      <c r="S56" s="7"/>
      <c r="T56" s="7"/>
      <c r="U56" s="190"/>
      <c r="V56" s="7"/>
      <c r="W56" s="7"/>
      <c r="X56" s="7"/>
      <c r="Y56" s="7"/>
      <c r="Z56" s="7"/>
      <c r="AA56" s="7"/>
      <c r="AB56" s="7"/>
      <c r="AC56" s="7"/>
      <c r="AD56" s="7"/>
      <c r="AE56" s="7"/>
      <c r="AF56" s="7"/>
      <c r="AG56" s="7"/>
    </row>
    <row r="57" spans="1:33" ht="15.75" customHeight="1">
      <c r="A57" s="7"/>
      <c r="B57" s="7"/>
      <c r="C57" s="7"/>
      <c r="D57" s="7"/>
      <c r="E57" s="7"/>
      <c r="F57" s="7"/>
      <c r="G57" s="7"/>
      <c r="H57" s="7"/>
      <c r="I57" s="7"/>
      <c r="J57" s="7"/>
      <c r="K57" s="7"/>
      <c r="L57" s="7"/>
      <c r="M57" s="7"/>
      <c r="N57" s="7"/>
      <c r="O57" s="7"/>
      <c r="P57" s="7"/>
      <c r="Q57" s="7"/>
      <c r="R57" s="7"/>
      <c r="S57" s="7"/>
      <c r="T57" s="7"/>
      <c r="U57" s="190"/>
      <c r="V57" s="7"/>
      <c r="W57" s="7"/>
      <c r="X57" s="7"/>
      <c r="Y57" s="7"/>
      <c r="Z57" s="7"/>
      <c r="AA57" s="7"/>
      <c r="AB57" s="7"/>
      <c r="AC57" s="7"/>
      <c r="AD57" s="7"/>
      <c r="AE57" s="7"/>
      <c r="AF57" s="7"/>
      <c r="AG57" s="7"/>
    </row>
    <row r="58" spans="1:33" ht="15.75" customHeight="1">
      <c r="A58" s="7"/>
      <c r="B58" s="7"/>
      <c r="C58" s="7"/>
      <c r="D58" s="7"/>
      <c r="E58" s="7"/>
      <c r="F58" s="7"/>
      <c r="G58" s="7"/>
      <c r="H58" s="7"/>
      <c r="I58" s="7"/>
      <c r="J58" s="7"/>
      <c r="K58" s="7"/>
      <c r="L58" s="7"/>
      <c r="M58" s="7"/>
      <c r="N58" s="7"/>
      <c r="O58" s="7"/>
      <c r="P58" s="7"/>
      <c r="Q58" s="7"/>
      <c r="R58" s="7"/>
      <c r="S58" s="7"/>
      <c r="T58" s="7"/>
      <c r="U58" s="190"/>
      <c r="V58" s="7"/>
      <c r="W58" s="7"/>
      <c r="X58" s="7"/>
      <c r="Y58" s="7"/>
      <c r="Z58" s="7"/>
      <c r="AA58" s="7"/>
      <c r="AB58" s="7"/>
      <c r="AC58" s="7"/>
      <c r="AD58" s="7"/>
      <c r="AE58" s="7"/>
      <c r="AF58" s="7"/>
      <c r="AG58" s="7"/>
    </row>
    <row r="59" spans="1:33" ht="15.75" customHeight="1">
      <c r="A59" s="7"/>
      <c r="B59" s="7"/>
      <c r="C59" s="7"/>
      <c r="D59" s="7"/>
      <c r="E59" s="7"/>
      <c r="F59" s="7"/>
      <c r="G59" s="7"/>
      <c r="H59" s="7"/>
      <c r="I59" s="7"/>
      <c r="J59" s="7"/>
      <c r="K59" s="7"/>
      <c r="L59" s="7"/>
      <c r="M59" s="7"/>
      <c r="N59" s="7"/>
      <c r="O59" s="7"/>
      <c r="P59" s="7"/>
      <c r="Q59" s="7"/>
      <c r="R59" s="7"/>
      <c r="S59" s="7"/>
      <c r="T59" s="7"/>
      <c r="U59" s="190"/>
      <c r="V59" s="7"/>
      <c r="W59" s="7"/>
      <c r="X59" s="7"/>
      <c r="Y59" s="7"/>
      <c r="Z59" s="7"/>
      <c r="AA59" s="7"/>
      <c r="AB59" s="7"/>
      <c r="AC59" s="7"/>
      <c r="AD59" s="7"/>
      <c r="AE59" s="7"/>
      <c r="AF59" s="7"/>
      <c r="AG59" s="7"/>
    </row>
    <row r="60" spans="1:33" ht="15.75" customHeight="1">
      <c r="A60" s="7"/>
      <c r="B60" s="7"/>
      <c r="C60" s="7"/>
      <c r="D60" s="7"/>
      <c r="E60" s="7"/>
      <c r="F60" s="7"/>
      <c r="G60" s="7"/>
      <c r="H60" s="7"/>
      <c r="I60" s="7"/>
      <c r="J60" s="7"/>
      <c r="K60" s="7"/>
      <c r="L60" s="7"/>
      <c r="M60" s="7"/>
      <c r="N60" s="7"/>
      <c r="O60" s="7"/>
      <c r="P60" s="7"/>
      <c r="Q60" s="7"/>
      <c r="R60" s="7"/>
      <c r="S60" s="7"/>
      <c r="T60" s="7"/>
      <c r="U60" s="190"/>
      <c r="V60" s="7"/>
      <c r="W60" s="7"/>
      <c r="X60" s="7"/>
      <c r="Y60" s="7"/>
      <c r="Z60" s="7"/>
      <c r="AA60" s="7"/>
      <c r="AB60" s="7"/>
      <c r="AC60" s="7"/>
      <c r="AD60" s="7"/>
      <c r="AE60" s="7"/>
      <c r="AF60" s="7"/>
      <c r="AG60" s="7"/>
    </row>
    <row r="61" spans="1:33" ht="15.75" customHeight="1">
      <c r="A61" s="7"/>
      <c r="B61" s="183"/>
      <c r="C61" s="7"/>
      <c r="D61" s="7"/>
      <c r="E61" s="7"/>
      <c r="F61" s="7"/>
      <c r="G61" s="7"/>
      <c r="H61" s="7"/>
      <c r="I61" s="7"/>
      <c r="J61" s="7"/>
      <c r="K61" s="7"/>
      <c r="L61" s="7"/>
      <c r="M61" s="7"/>
      <c r="N61" s="7"/>
      <c r="O61" s="7"/>
      <c r="P61" s="7"/>
      <c r="Q61" s="7"/>
      <c r="R61" s="7"/>
      <c r="S61" s="7"/>
      <c r="T61" s="7"/>
      <c r="U61" s="190"/>
      <c r="V61" s="7"/>
      <c r="W61" s="7"/>
      <c r="X61" s="7"/>
      <c r="Y61" s="7"/>
      <c r="Z61" s="7"/>
      <c r="AA61" s="7"/>
      <c r="AB61" s="7"/>
      <c r="AC61" s="7"/>
      <c r="AD61" s="7"/>
      <c r="AE61" s="7"/>
      <c r="AF61" s="7"/>
      <c r="AG61" s="7"/>
    </row>
    <row r="62" spans="1:33" ht="15.75" customHeight="1">
      <c r="A62" s="7"/>
      <c r="B62" s="7"/>
      <c r="C62" s="7"/>
      <c r="D62" s="7"/>
      <c r="E62" s="7"/>
      <c r="F62" s="7"/>
      <c r="G62" s="7"/>
      <c r="H62" s="7"/>
      <c r="I62" s="7"/>
      <c r="J62" s="7"/>
      <c r="K62" s="7"/>
      <c r="L62" s="7"/>
      <c r="M62" s="7"/>
      <c r="N62" s="7"/>
      <c r="O62" s="7"/>
      <c r="P62" s="7"/>
      <c r="Q62" s="7"/>
      <c r="R62" s="7"/>
      <c r="S62" s="7"/>
      <c r="T62" s="7"/>
      <c r="U62" s="190"/>
      <c r="V62" s="7"/>
      <c r="W62" s="7"/>
      <c r="X62" s="7"/>
      <c r="Y62" s="7"/>
      <c r="Z62" s="7"/>
      <c r="AA62" s="7"/>
      <c r="AB62" s="7"/>
      <c r="AC62" s="7"/>
      <c r="AD62" s="7"/>
      <c r="AE62" s="7"/>
      <c r="AF62" s="7"/>
      <c r="AG62" s="7"/>
    </row>
    <row r="63" spans="1:33" ht="15.75" customHeight="1">
      <c r="A63" s="7"/>
      <c r="B63" s="7"/>
      <c r="C63" s="7"/>
      <c r="D63" s="7"/>
      <c r="E63" s="7"/>
      <c r="F63" s="7"/>
      <c r="G63" s="7"/>
      <c r="H63" s="7"/>
      <c r="I63" s="7"/>
      <c r="J63" s="7"/>
      <c r="K63" s="7"/>
      <c r="L63" s="7"/>
      <c r="M63" s="7"/>
      <c r="N63" s="7"/>
      <c r="O63" s="7"/>
      <c r="P63" s="7"/>
      <c r="Q63" s="7"/>
      <c r="R63" s="7"/>
      <c r="S63" s="7"/>
      <c r="T63" s="7"/>
      <c r="U63" s="190"/>
      <c r="V63" s="7"/>
      <c r="W63" s="7"/>
      <c r="X63" s="7"/>
      <c r="Y63" s="7"/>
      <c r="Z63" s="7"/>
      <c r="AA63" s="7"/>
      <c r="AB63" s="7"/>
      <c r="AC63" s="7"/>
      <c r="AD63" s="7"/>
      <c r="AE63" s="7"/>
      <c r="AF63" s="7"/>
      <c r="AG63" s="7"/>
    </row>
    <row r="64" spans="1:33" ht="15.75" customHeight="1">
      <c r="A64" s="7"/>
      <c r="B64" s="7"/>
      <c r="C64" s="7"/>
      <c r="D64" s="7"/>
      <c r="E64" s="7"/>
      <c r="F64" s="7"/>
      <c r="G64" s="7"/>
      <c r="H64" s="7"/>
      <c r="I64" s="7"/>
      <c r="J64" s="7"/>
      <c r="K64" s="7"/>
      <c r="L64" s="7"/>
      <c r="M64" s="7"/>
      <c r="N64" s="7"/>
      <c r="O64" s="7"/>
      <c r="P64" s="7"/>
      <c r="Q64" s="7"/>
      <c r="R64" s="7"/>
      <c r="S64" s="7"/>
      <c r="T64" s="7"/>
      <c r="U64" s="190"/>
      <c r="V64" s="7"/>
      <c r="W64" s="7"/>
      <c r="X64" s="7"/>
      <c r="Y64" s="7"/>
      <c r="Z64" s="7"/>
      <c r="AA64" s="7"/>
      <c r="AB64" s="7"/>
      <c r="AC64" s="7"/>
      <c r="AD64" s="7"/>
      <c r="AE64" s="7"/>
      <c r="AF64" s="7"/>
      <c r="AG64" s="7"/>
    </row>
    <row r="65" spans="1:33"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row>
    <row r="66" spans="1:33"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row>
    <row r="67" spans="1:33"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row>
    <row r="68" spans="1:33"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row>
    <row r="69" spans="1:33"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row>
    <row r="70" spans="1:33"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row>
    <row r="71" spans="1:33" ht="15.75" customHeight="1">
      <c r="A71" s="7"/>
      <c r="B71" s="7"/>
      <c r="C71" s="7"/>
      <c r="D71" s="7"/>
      <c r="E71" s="7"/>
      <c r="F71" s="187"/>
      <c r="G71" s="187"/>
      <c r="H71" s="7"/>
      <c r="I71" s="7"/>
      <c r="J71" s="7"/>
      <c r="K71" s="7"/>
      <c r="L71" s="7"/>
      <c r="M71" s="7"/>
      <c r="N71" s="7"/>
      <c r="O71" s="7"/>
      <c r="P71" s="7"/>
      <c r="Q71" s="7"/>
      <c r="R71" s="7"/>
      <c r="S71" s="7"/>
      <c r="T71" s="7"/>
      <c r="U71" s="7"/>
      <c r="V71" s="7"/>
      <c r="W71" s="7"/>
      <c r="X71" s="7"/>
      <c r="Y71" s="7"/>
      <c r="Z71" s="7"/>
      <c r="AA71" s="7"/>
      <c r="AB71" s="7"/>
      <c r="AC71" s="7"/>
      <c r="AD71" s="7"/>
      <c r="AE71" s="7"/>
      <c r="AF71" s="7"/>
      <c r="AG71" s="7"/>
    </row>
    <row r="72" spans="1:33" ht="15.75" customHeight="1">
      <c r="A72" s="7"/>
      <c r="B72" s="7"/>
      <c r="C72" s="7"/>
      <c r="D72" s="7"/>
      <c r="E72" s="188"/>
      <c r="F72" s="187"/>
      <c r="G72" s="187"/>
      <c r="H72" s="7"/>
      <c r="I72" s="85"/>
      <c r="J72" s="85"/>
      <c r="K72" s="7"/>
      <c r="L72" s="7"/>
      <c r="M72" s="7"/>
      <c r="N72" s="7"/>
      <c r="O72" s="7"/>
      <c r="P72" s="7"/>
      <c r="Q72" s="7"/>
      <c r="R72" s="7"/>
      <c r="S72" s="7"/>
      <c r="T72" s="7"/>
      <c r="U72" s="7"/>
      <c r="V72" s="7"/>
      <c r="W72" s="7"/>
      <c r="X72" s="7"/>
      <c r="Y72" s="7"/>
      <c r="Z72" s="7"/>
      <c r="AA72" s="7"/>
      <c r="AB72" s="7"/>
      <c r="AC72" s="7"/>
      <c r="AD72" s="7"/>
      <c r="AE72" s="7"/>
      <c r="AF72" s="7"/>
      <c r="AG72" s="7"/>
    </row>
    <row r="73" spans="1:33" ht="15.75" customHeight="1">
      <c r="A73" s="7"/>
      <c r="B73" s="7"/>
      <c r="C73" s="7"/>
      <c r="D73" s="7"/>
      <c r="E73" s="188"/>
      <c r="F73" s="187"/>
      <c r="G73" s="187"/>
      <c r="H73" s="7"/>
      <c r="I73" s="85"/>
      <c r="J73" s="85"/>
      <c r="K73" s="7"/>
      <c r="L73" s="7"/>
      <c r="M73" s="7"/>
      <c r="N73" s="7"/>
      <c r="O73" s="7"/>
      <c r="P73" s="7"/>
      <c r="Q73" s="7"/>
      <c r="R73" s="7"/>
      <c r="S73" s="7"/>
      <c r="T73" s="7"/>
      <c r="U73" s="7"/>
      <c r="V73" s="7"/>
      <c r="W73" s="7"/>
      <c r="X73" s="7"/>
      <c r="Y73" s="7"/>
      <c r="Z73" s="7"/>
      <c r="AA73" s="7"/>
      <c r="AB73" s="7"/>
      <c r="AC73" s="7"/>
      <c r="AD73" s="7"/>
      <c r="AE73" s="7"/>
      <c r="AF73" s="7"/>
      <c r="AG73" s="7"/>
    </row>
    <row r="74" spans="1:33" ht="15.75" customHeight="1">
      <c r="A74" s="7"/>
      <c r="B74" s="7"/>
      <c r="C74" s="7"/>
      <c r="D74" s="7"/>
      <c r="E74" s="188"/>
      <c r="F74" s="187"/>
      <c r="G74" s="187"/>
      <c r="H74" s="7"/>
      <c r="I74" s="85"/>
      <c r="J74" s="85"/>
      <c r="K74" s="7"/>
      <c r="L74" s="7"/>
      <c r="M74" s="7"/>
      <c r="N74" s="7"/>
      <c r="O74" s="7"/>
      <c r="P74" s="7"/>
      <c r="Q74" s="7"/>
      <c r="R74" s="7"/>
      <c r="S74" s="7"/>
      <c r="T74" s="7"/>
      <c r="U74" s="7"/>
      <c r="V74" s="7"/>
      <c r="W74" s="7"/>
      <c r="X74" s="7"/>
      <c r="Y74" s="7"/>
      <c r="Z74" s="7"/>
      <c r="AA74" s="7"/>
      <c r="AB74" s="7"/>
      <c r="AC74" s="7"/>
      <c r="AD74" s="7"/>
      <c r="AE74" s="7"/>
      <c r="AF74" s="7"/>
      <c r="AG74" s="7"/>
    </row>
    <row r="75" spans="1:33" ht="15.75" customHeight="1">
      <c r="A75" s="7"/>
      <c r="B75" s="7"/>
      <c r="C75" s="7"/>
      <c r="D75" s="7"/>
      <c r="E75" s="188"/>
      <c r="F75" s="187"/>
      <c r="G75" s="187"/>
      <c r="H75" s="7"/>
      <c r="I75" s="85"/>
      <c r="J75" s="85"/>
      <c r="K75" s="7"/>
      <c r="L75" s="7"/>
      <c r="M75" s="7"/>
      <c r="N75" s="7"/>
      <c r="O75" s="7"/>
      <c r="P75" s="7"/>
      <c r="Q75" s="7"/>
      <c r="R75" s="7"/>
      <c r="S75" s="7"/>
      <c r="T75" s="7"/>
      <c r="U75" s="7"/>
      <c r="V75" s="7"/>
      <c r="W75" s="7"/>
      <c r="X75" s="7"/>
      <c r="Y75" s="7"/>
      <c r="Z75" s="7"/>
      <c r="AA75" s="7"/>
      <c r="AB75" s="7"/>
      <c r="AC75" s="7"/>
      <c r="AD75" s="7"/>
      <c r="AE75" s="7"/>
      <c r="AF75" s="7"/>
      <c r="AG75" s="7"/>
    </row>
    <row r="76" spans="1:33" ht="15.75" customHeight="1">
      <c r="A76" s="7"/>
      <c r="B76" s="7"/>
      <c r="C76" s="7"/>
      <c r="D76" s="7"/>
      <c r="E76" s="188"/>
      <c r="F76" s="187"/>
      <c r="G76" s="187"/>
      <c r="H76" s="7"/>
      <c r="I76" s="85"/>
      <c r="J76" s="85"/>
      <c r="K76" s="7"/>
      <c r="L76" s="7"/>
      <c r="M76" s="7"/>
      <c r="N76" s="7"/>
      <c r="O76" s="7"/>
      <c r="P76" s="7"/>
      <c r="Q76" s="7"/>
      <c r="R76" s="7"/>
      <c r="S76" s="7"/>
      <c r="T76" s="7"/>
      <c r="U76" s="7"/>
      <c r="V76" s="7"/>
      <c r="W76" s="7"/>
      <c r="X76" s="7"/>
      <c r="Y76" s="7"/>
      <c r="Z76" s="7"/>
      <c r="AA76" s="7"/>
      <c r="AB76" s="7"/>
      <c r="AC76" s="7"/>
      <c r="AD76" s="7"/>
      <c r="AE76" s="7"/>
      <c r="AF76" s="7"/>
      <c r="AG76" s="7"/>
    </row>
    <row r="77" spans="1:33" ht="15.75" customHeight="1">
      <c r="A77" s="7"/>
      <c r="B77" s="7"/>
      <c r="C77" s="7"/>
      <c r="D77" s="7"/>
      <c r="E77" s="188"/>
      <c r="F77" s="187"/>
      <c r="G77" s="187"/>
      <c r="H77" s="7"/>
      <c r="I77" s="85"/>
      <c r="J77" s="85"/>
      <c r="K77" s="7"/>
      <c r="L77" s="7"/>
      <c r="M77" s="7"/>
      <c r="N77" s="7"/>
      <c r="O77" s="7"/>
      <c r="P77" s="7"/>
      <c r="Q77" s="7"/>
      <c r="R77" s="7"/>
      <c r="S77" s="7"/>
      <c r="T77" s="7"/>
      <c r="U77" s="7"/>
      <c r="V77" s="7"/>
      <c r="W77" s="7"/>
      <c r="X77" s="7"/>
      <c r="Y77" s="7"/>
      <c r="Z77" s="7"/>
      <c r="AA77" s="7"/>
      <c r="AB77" s="7"/>
      <c r="AC77" s="7"/>
      <c r="AD77" s="7"/>
      <c r="AE77" s="7"/>
      <c r="AF77" s="7"/>
      <c r="AG77" s="7"/>
    </row>
    <row r="78" spans="1:33" ht="15.75" customHeight="1">
      <c r="A78" s="7"/>
      <c r="B78" s="7"/>
      <c r="C78" s="7"/>
      <c r="D78" s="7"/>
      <c r="E78" s="188"/>
      <c r="F78" s="187"/>
      <c r="G78" s="187"/>
      <c r="H78" s="7"/>
      <c r="I78" s="85"/>
      <c r="J78" s="85"/>
      <c r="K78" s="7"/>
      <c r="L78" s="7"/>
      <c r="M78" s="7"/>
      <c r="N78" s="7"/>
      <c r="O78" s="7"/>
      <c r="P78" s="7"/>
      <c r="Q78" s="7"/>
      <c r="R78" s="7"/>
      <c r="S78" s="7"/>
      <c r="T78" s="7"/>
      <c r="U78" s="7"/>
      <c r="V78" s="7"/>
      <c r="W78" s="7"/>
      <c r="X78" s="7"/>
      <c r="Y78" s="7"/>
      <c r="Z78" s="7"/>
      <c r="AA78" s="7"/>
      <c r="AB78" s="7"/>
      <c r="AC78" s="7"/>
      <c r="AD78" s="7"/>
      <c r="AE78" s="7"/>
      <c r="AF78" s="7"/>
      <c r="AG78" s="7"/>
    </row>
    <row r="79" spans="1:33" ht="15.75" customHeight="1">
      <c r="A79" s="7"/>
      <c r="B79" s="7"/>
      <c r="C79" s="7"/>
      <c r="D79" s="7"/>
      <c r="E79" s="188"/>
      <c r="F79" s="187"/>
      <c r="G79" s="187"/>
      <c r="H79" s="7"/>
      <c r="I79" s="85"/>
      <c r="J79" s="85"/>
      <c r="K79" s="7"/>
      <c r="L79" s="7"/>
      <c r="M79" s="7"/>
      <c r="N79" s="7"/>
      <c r="O79" s="7"/>
      <c r="P79" s="7"/>
      <c r="Q79" s="7"/>
      <c r="R79" s="7"/>
      <c r="S79" s="7"/>
      <c r="T79" s="7"/>
      <c r="U79" s="7"/>
      <c r="V79" s="7"/>
      <c r="W79" s="7"/>
      <c r="X79" s="7"/>
      <c r="Y79" s="7"/>
      <c r="Z79" s="7"/>
      <c r="AA79" s="7"/>
      <c r="AB79" s="7"/>
      <c r="AC79" s="7"/>
      <c r="AD79" s="7"/>
      <c r="AE79" s="7"/>
      <c r="AF79" s="7"/>
      <c r="AG79" s="7"/>
    </row>
    <row r="80" spans="1:33" ht="15.75" customHeight="1">
      <c r="A80" s="7"/>
      <c r="B80" s="7"/>
      <c r="C80" s="7"/>
      <c r="D80" s="7"/>
      <c r="E80" s="188"/>
      <c r="F80" s="187"/>
      <c r="G80" s="187"/>
      <c r="H80" s="7"/>
      <c r="I80" s="85"/>
      <c r="J80" s="85"/>
      <c r="K80" s="7"/>
      <c r="L80" s="7"/>
      <c r="M80" s="7"/>
      <c r="N80" s="7"/>
      <c r="O80" s="7"/>
      <c r="P80" s="7"/>
      <c r="Q80" s="7"/>
      <c r="R80" s="7"/>
      <c r="S80" s="7"/>
      <c r="T80" s="7"/>
      <c r="U80" s="7"/>
      <c r="V80" s="7"/>
      <c r="W80" s="7"/>
      <c r="X80" s="7"/>
      <c r="Y80" s="7"/>
      <c r="Z80" s="7"/>
      <c r="AA80" s="7"/>
      <c r="AB80" s="7"/>
      <c r="AC80" s="7"/>
      <c r="AD80" s="7"/>
      <c r="AE80" s="7"/>
      <c r="AF80" s="7"/>
      <c r="AG80" s="7"/>
    </row>
    <row r="81" spans="1:33" ht="15.75" customHeight="1">
      <c r="A81" s="7"/>
      <c r="B81" s="7"/>
      <c r="C81" s="7"/>
      <c r="D81" s="7"/>
      <c r="E81" s="188"/>
      <c r="F81" s="187"/>
      <c r="G81" s="187"/>
      <c r="H81" s="7"/>
      <c r="I81" s="85"/>
      <c r="J81" s="85"/>
      <c r="K81" s="7"/>
      <c r="L81" s="7"/>
      <c r="M81" s="7"/>
      <c r="N81" s="7"/>
      <c r="O81" s="7"/>
      <c r="P81" s="7"/>
      <c r="Q81" s="7"/>
      <c r="R81" s="7"/>
      <c r="S81" s="7"/>
      <c r="T81" s="7"/>
      <c r="U81" s="7"/>
      <c r="V81" s="7"/>
      <c r="W81" s="7"/>
      <c r="X81" s="7"/>
      <c r="Y81" s="7"/>
      <c r="Z81" s="7"/>
      <c r="AA81" s="7"/>
      <c r="AB81" s="7"/>
      <c r="AC81" s="7"/>
      <c r="AD81" s="7"/>
      <c r="AE81" s="7"/>
      <c r="AF81" s="7"/>
      <c r="AG81" s="7"/>
    </row>
    <row r="82" spans="1:33" ht="15.75" customHeight="1">
      <c r="A82" s="7"/>
      <c r="B82" s="7"/>
      <c r="C82" s="7"/>
      <c r="D82" s="7"/>
      <c r="E82" s="188"/>
      <c r="F82" s="187"/>
      <c r="G82" s="187"/>
      <c r="H82" s="7"/>
      <c r="I82" s="85"/>
      <c r="J82" s="85"/>
      <c r="K82" s="7"/>
      <c r="L82" s="7"/>
      <c r="M82" s="7"/>
      <c r="N82" s="7"/>
      <c r="O82" s="7"/>
      <c r="P82" s="7"/>
      <c r="Q82" s="7"/>
      <c r="R82" s="7"/>
      <c r="S82" s="7"/>
      <c r="T82" s="7"/>
      <c r="U82" s="7"/>
      <c r="V82" s="7"/>
      <c r="W82" s="7"/>
      <c r="X82" s="7"/>
      <c r="Y82" s="7"/>
      <c r="Z82" s="7"/>
      <c r="AA82" s="7"/>
      <c r="AB82" s="7"/>
      <c r="AC82" s="7"/>
      <c r="AD82" s="7"/>
      <c r="AE82" s="7"/>
      <c r="AF82" s="7"/>
      <c r="AG82" s="7"/>
    </row>
    <row r="83" spans="1:33" ht="15.75" customHeight="1">
      <c r="A83" s="7"/>
      <c r="B83" s="7"/>
      <c r="C83" s="7"/>
      <c r="D83" s="7"/>
      <c r="E83" s="188"/>
      <c r="F83" s="187"/>
      <c r="G83" s="187"/>
      <c r="H83" s="7"/>
      <c r="I83" s="85"/>
      <c r="J83" s="85"/>
      <c r="K83" s="7"/>
      <c r="L83" s="7"/>
      <c r="M83" s="7"/>
      <c r="N83" s="7"/>
      <c r="O83" s="7"/>
      <c r="P83" s="7"/>
      <c r="Q83" s="7"/>
      <c r="R83" s="7"/>
      <c r="S83" s="7"/>
      <c r="T83" s="7"/>
      <c r="U83" s="7"/>
      <c r="V83" s="7"/>
      <c r="W83" s="7"/>
      <c r="X83" s="7"/>
      <c r="Y83" s="7"/>
      <c r="Z83" s="7"/>
      <c r="AA83" s="7"/>
      <c r="AB83" s="7"/>
      <c r="AC83" s="7"/>
      <c r="AD83" s="7"/>
      <c r="AE83" s="7"/>
      <c r="AF83" s="7"/>
      <c r="AG83" s="7"/>
    </row>
    <row r="84" spans="1:33" ht="15.75" customHeight="1">
      <c r="A84" s="7"/>
      <c r="B84" s="7"/>
      <c r="C84" s="7"/>
      <c r="D84" s="7"/>
      <c r="E84" s="188"/>
      <c r="F84" s="187"/>
      <c r="G84" s="187"/>
      <c r="H84" s="7"/>
      <c r="I84" s="85"/>
      <c r="J84" s="85"/>
      <c r="K84" s="7"/>
      <c r="L84" s="7"/>
      <c r="M84" s="7"/>
      <c r="N84" s="7"/>
      <c r="O84" s="7"/>
      <c r="P84" s="7"/>
      <c r="Q84" s="7"/>
      <c r="R84" s="7"/>
      <c r="S84" s="7"/>
      <c r="T84" s="7"/>
      <c r="U84" s="7"/>
      <c r="V84" s="7"/>
      <c r="W84" s="7"/>
      <c r="X84" s="7"/>
      <c r="Y84" s="7"/>
      <c r="Z84" s="7"/>
      <c r="AA84" s="7"/>
      <c r="AB84" s="7"/>
      <c r="AC84" s="7"/>
      <c r="AD84" s="7"/>
      <c r="AE84" s="7"/>
      <c r="AF84" s="7"/>
      <c r="AG84" s="7"/>
    </row>
    <row r="85" spans="1:33" ht="15.75" customHeight="1">
      <c r="A85" s="7"/>
      <c r="B85" s="7"/>
      <c r="C85" s="7"/>
      <c r="D85" s="7"/>
      <c r="E85" s="192"/>
      <c r="F85" s="168"/>
      <c r="G85" s="168"/>
      <c r="H85" s="7"/>
      <c r="I85" s="85"/>
      <c r="J85" s="85"/>
      <c r="K85" s="7"/>
      <c r="L85" s="7"/>
      <c r="M85" s="7"/>
      <c r="N85" s="7"/>
      <c r="O85" s="7"/>
      <c r="P85" s="7"/>
      <c r="Q85" s="7"/>
      <c r="R85" s="7"/>
      <c r="S85" s="7"/>
      <c r="T85" s="7"/>
      <c r="U85" s="7"/>
      <c r="V85" s="7"/>
      <c r="W85" s="7"/>
      <c r="X85" s="7"/>
      <c r="Y85" s="7"/>
      <c r="Z85" s="7"/>
      <c r="AA85" s="7"/>
      <c r="AB85" s="7"/>
      <c r="AC85" s="7"/>
      <c r="AD85" s="7"/>
      <c r="AE85" s="7"/>
      <c r="AF85" s="7"/>
      <c r="AG85" s="7"/>
    </row>
    <row r="86" spans="1:33"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row>
    <row r="87" spans="1:33"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row>
    <row r="88" spans="1:33"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row>
    <row r="89" spans="1:33"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row>
    <row r="90" spans="1:33"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row>
    <row r="91" spans="1:33"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row>
    <row r="92" spans="1:33"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row>
    <row r="93" spans="1:33"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row>
    <row r="94" spans="1:33"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row>
    <row r="95" spans="1:33"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row>
    <row r="96" spans="1:33"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row>
    <row r="97" spans="1:33"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row>
    <row r="98" spans="1:33"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row>
    <row r="99" spans="1:33"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row>
    <row r="100" spans="1:33"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row>
    <row r="101" spans="1:33"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row>
    <row r="102" spans="1:33"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row>
    <row r="103" spans="1:33"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row>
    <row r="104" spans="1:33"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row>
    <row r="105" spans="1:33"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row>
    <row r="106" spans="1:33"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row>
    <row r="107" spans="1:33"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row>
    <row r="108" spans="1:33"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row>
    <row r="109" spans="1:33"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row>
    <row r="110" spans="1:33"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row>
    <row r="111" spans="1:33"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row>
    <row r="112" spans="1:33"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row>
    <row r="113" spans="1:33"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row>
    <row r="114" spans="1:33"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row>
    <row r="115" spans="1:33"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row>
    <row r="116" spans="1:33"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row>
    <row r="117" spans="1:33"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row>
    <row r="118" spans="1:33"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row>
    <row r="119" spans="1:33"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row>
    <row r="120" spans="1:33"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row>
    <row r="121" spans="1:33"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row>
    <row r="122" spans="1:33"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row>
    <row r="123" spans="1:33"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row>
    <row r="124" spans="1:33"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row>
    <row r="125" spans="1:33"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row>
    <row r="126" spans="1:33"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row>
    <row r="127" spans="1:33"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row>
    <row r="128" spans="1:33"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row>
    <row r="129" spans="1:33"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row>
    <row r="130" spans="1:33"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row>
    <row r="131" spans="1:33"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row>
    <row r="132" spans="1:33"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row>
    <row r="133" spans="1:33"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row>
    <row r="134" spans="1:33" ht="15.75" customHeight="1">
      <c r="A134" s="7"/>
      <c r="B134" s="7"/>
      <c r="C134" s="188"/>
      <c r="D134" s="188"/>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row>
    <row r="135" spans="1:33" ht="15.75" customHeight="1">
      <c r="A135" s="7"/>
      <c r="B135" s="7"/>
      <c r="C135" s="188"/>
      <c r="D135" s="188"/>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row>
    <row r="136" spans="1:33" ht="15.75" customHeight="1">
      <c r="A136" s="7"/>
      <c r="B136" s="7"/>
      <c r="C136" s="188"/>
      <c r="D136" s="188"/>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row>
    <row r="137" spans="1:33" ht="15.75" customHeight="1">
      <c r="A137" s="7"/>
      <c r="B137" s="7"/>
      <c r="C137" s="188"/>
      <c r="D137" s="188"/>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row>
    <row r="138" spans="1:33" ht="15.75" customHeight="1">
      <c r="A138" s="7"/>
      <c r="B138" s="7"/>
      <c r="C138" s="188"/>
      <c r="D138" s="188"/>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row>
    <row r="139" spans="1:33" ht="15.75" customHeight="1">
      <c r="A139" s="7"/>
      <c r="B139" s="7"/>
      <c r="C139" s="188"/>
      <c r="D139" s="188"/>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row>
    <row r="140" spans="1:33" ht="15.75" customHeight="1">
      <c r="A140" s="7"/>
      <c r="B140" s="7"/>
      <c r="C140" s="188"/>
      <c r="D140" s="188"/>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row>
    <row r="141" spans="1:33" ht="15.75" customHeight="1">
      <c r="A141" s="7"/>
      <c r="B141" s="7"/>
      <c r="C141" s="188"/>
      <c r="D141" s="188"/>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row>
    <row r="142" spans="1:33" ht="15.75" customHeight="1">
      <c r="A142" s="7"/>
      <c r="B142" s="7"/>
      <c r="C142" s="188"/>
      <c r="D142" s="188"/>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row>
    <row r="143" spans="1:33" ht="15.75" customHeight="1">
      <c r="A143" s="7"/>
      <c r="B143" s="7"/>
      <c r="C143" s="188"/>
      <c r="D143" s="188"/>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row>
    <row r="144" spans="1:33" ht="15.75" customHeight="1">
      <c r="A144" s="7"/>
      <c r="B144" s="7"/>
      <c r="C144" s="188"/>
      <c r="D144" s="188"/>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row>
    <row r="145" spans="1:33" ht="15.75" customHeight="1">
      <c r="A145" s="7"/>
      <c r="B145" s="7"/>
      <c r="C145" s="188"/>
      <c r="D145" s="188"/>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row>
    <row r="146" spans="1:33"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row>
    <row r="147" spans="1:33"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row>
    <row r="148" spans="1:33"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row>
    <row r="149" spans="1:33"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row>
    <row r="150" spans="1:33"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row>
    <row r="151" spans="1:33"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row>
    <row r="152" spans="1:33"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row>
    <row r="153" spans="1:33"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row>
    <row r="154" spans="1:33"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row>
    <row r="155" spans="1:33"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row>
    <row r="156" spans="1:33"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row>
    <row r="157" spans="1:33"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row>
    <row r="158" spans="1:33"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row>
    <row r="159" spans="1:33"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row>
    <row r="160" spans="1:33"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row>
    <row r="161" spans="1:33"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row>
    <row r="162" spans="1:33"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row>
    <row r="163" spans="1:33"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row>
    <row r="164" spans="1:33"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row>
    <row r="165" spans="1:33"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row>
    <row r="166" spans="1:33"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row>
    <row r="167" spans="1:33"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row>
    <row r="168" spans="1:33"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row>
    <row r="169" spans="1:33"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row>
    <row r="170" spans="1:33"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row>
    <row r="171" spans="1:33"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row>
    <row r="172" spans="1:33"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row>
    <row r="173" spans="1:33"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row>
    <row r="174" spans="1:33"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row>
    <row r="175" spans="1:33"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row>
    <row r="176" spans="1:33"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row>
    <row r="177" spans="1:33"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row>
    <row r="178" spans="1:33"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row>
    <row r="179" spans="1:33"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row>
    <row r="180" spans="1:33"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row>
    <row r="181" spans="1:33"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row>
    <row r="182" spans="1:33"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row>
    <row r="183" spans="1:33"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row>
    <row r="184" spans="1:33"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row>
    <row r="185" spans="1:33"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row>
    <row r="186" spans="1:33"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row>
    <row r="187" spans="1:33"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row>
    <row r="188" spans="1:33"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row>
    <row r="189" spans="1:33"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row>
    <row r="190" spans="1:33"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row>
    <row r="191" spans="1:33"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row>
    <row r="192" spans="1:33"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row>
    <row r="193" spans="1:33"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row>
    <row r="194" spans="1:33"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row>
    <row r="195" spans="1:33"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row>
    <row r="196" spans="1:33"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row>
    <row r="197" spans="1:33"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row>
    <row r="198" spans="1:33"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row>
    <row r="199" spans="1:33"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row>
    <row r="200" spans="1:33"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row>
    <row r="201" spans="1:33"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row>
    <row r="202" spans="1:33"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row>
    <row r="203" spans="1:33"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row>
    <row r="204" spans="1:33"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row>
    <row r="205" spans="1:33"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row>
    <row r="206" spans="1:33"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row>
    <row r="207" spans="1:33"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row>
    <row r="208" spans="1:33"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row>
    <row r="209" spans="1:33"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row>
    <row r="210" spans="1:33"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row>
    <row r="211" spans="1:33"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row>
    <row r="212" spans="1:33"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row>
    <row r="213" spans="1:33"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row>
    <row r="214" spans="1:33"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row>
    <row r="215" spans="1:33"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row>
    <row r="216" spans="1:33"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row>
    <row r="217" spans="1:33"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row>
    <row r="218" spans="1:33"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row>
    <row r="219" spans="1:33"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row>
    <row r="220" spans="1:33"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row>
    <row r="221" spans="1:33"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row>
    <row r="222" spans="1:33"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row>
    <row r="223" spans="1:33"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row>
    <row r="224" spans="1:33"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row>
    <row r="225" spans="1:33"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row>
    <row r="226" spans="1:33"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row>
    <row r="227" spans="1:33"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row>
    <row r="228" spans="1:33"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row>
    <row r="229" spans="1:33"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row>
    <row r="230" spans="1:33"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row>
    <row r="231" spans="1:33"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row>
    <row r="232" spans="1:33"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row>
    <row r="233" spans="1: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row>
    <row r="234" spans="1:33"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row>
    <row r="235" spans="1:33"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row>
    <row r="236" spans="1:33"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row>
    <row r="237" spans="1:33"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row>
    <row r="238" spans="1:33"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row>
    <row r="239" spans="1:33"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row>
    <row r="240" spans="1:33"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row>
    <row r="241" spans="1:33"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row>
    <row r="242" spans="1:33"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row>
    <row r="243" spans="1:3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row>
    <row r="244" spans="1:33"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row>
    <row r="245" spans="1:33"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row>
    <row r="246" spans="1:33"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row>
    <row r="247" spans="1:33"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row>
    <row r="248" spans="1:33"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row>
    <row r="249" spans="1:33"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row>
    <row r="250" spans="1:33"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row>
    <row r="251" spans="1:33" ht="15.75" customHeight="1"/>
    <row r="252" spans="1:33" ht="15.75" customHeight="1"/>
    <row r="253" spans="1:33" ht="15.75" customHeight="1"/>
    <row r="254" spans="1:33" ht="15.75" customHeight="1"/>
    <row r="255" spans="1:33" ht="15.75" customHeight="1"/>
    <row r="256" spans="1:33"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E1:T1"/>
    <mergeCell ref="V1:Z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BA100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2.6640625" defaultRowHeight="15" customHeight="1"/>
  <cols>
    <col min="34" max="34" width="25.1640625" customWidth="1"/>
  </cols>
  <sheetData>
    <row r="1" spans="1:53" ht="60.75" customHeight="1">
      <c r="A1" s="193" t="s">
        <v>31</v>
      </c>
      <c r="B1" s="194" t="s">
        <v>99</v>
      </c>
      <c r="C1" s="194" t="s">
        <v>323</v>
      </c>
      <c r="D1" s="194" t="s">
        <v>324</v>
      </c>
      <c r="E1" s="16" t="s">
        <v>325</v>
      </c>
      <c r="F1" s="16" t="s">
        <v>326</v>
      </c>
      <c r="G1" s="16" t="s">
        <v>115</v>
      </c>
      <c r="H1" s="16" t="s">
        <v>327</v>
      </c>
      <c r="I1" s="16" t="s">
        <v>157</v>
      </c>
      <c r="J1" s="16" t="s">
        <v>158</v>
      </c>
      <c r="K1" s="16" t="s">
        <v>328</v>
      </c>
      <c r="L1" s="16" t="s">
        <v>329</v>
      </c>
      <c r="M1" s="16" t="s">
        <v>330</v>
      </c>
      <c r="N1" s="16" t="s">
        <v>331</v>
      </c>
      <c r="O1" s="98" t="s">
        <v>332</v>
      </c>
      <c r="P1" s="98" t="s">
        <v>333</v>
      </c>
      <c r="Q1" s="98" t="s">
        <v>334</v>
      </c>
      <c r="R1" s="98" t="s">
        <v>335</v>
      </c>
      <c r="S1" s="98" t="s">
        <v>336</v>
      </c>
      <c r="T1" s="98" t="s">
        <v>337</v>
      </c>
      <c r="U1" s="98" t="s">
        <v>338</v>
      </c>
      <c r="V1" s="98" t="s">
        <v>339</v>
      </c>
      <c r="W1" s="98" t="s">
        <v>340</v>
      </c>
      <c r="X1" s="98" t="s">
        <v>341</v>
      </c>
      <c r="Y1" s="98" t="s">
        <v>342</v>
      </c>
      <c r="Z1" s="98" t="s">
        <v>343</v>
      </c>
      <c r="AA1" s="98" t="s">
        <v>344</v>
      </c>
      <c r="AB1" s="195" t="s">
        <v>345</v>
      </c>
      <c r="AC1" s="194" t="s">
        <v>346</v>
      </c>
      <c r="AD1" s="7"/>
      <c r="AE1" s="196" t="s">
        <v>347</v>
      </c>
      <c r="AF1" s="193"/>
      <c r="AG1" s="194" t="s">
        <v>348</v>
      </c>
      <c r="AH1" s="7"/>
      <c r="AI1" s="240" t="s">
        <v>349</v>
      </c>
      <c r="AJ1" s="241"/>
      <c r="AK1" s="241"/>
      <c r="AL1" s="241"/>
      <c r="AM1" s="241"/>
      <c r="AN1" s="242" t="s">
        <v>350</v>
      </c>
      <c r="AO1" s="241"/>
      <c r="AP1" s="241"/>
      <c r="AQ1" s="241"/>
      <c r="AR1" s="241"/>
      <c r="AS1" s="241"/>
      <c r="AT1" s="241"/>
      <c r="AU1" s="241"/>
      <c r="AV1" s="241"/>
      <c r="AW1" s="241"/>
      <c r="AX1" s="241"/>
      <c r="AY1" s="243" t="s">
        <v>351</v>
      </c>
      <c r="AZ1" s="212"/>
      <c r="BA1" s="212"/>
    </row>
    <row r="2" spans="1:53" ht="15.75" customHeight="1">
      <c r="A2" s="197"/>
      <c r="B2" s="7"/>
      <c r="C2" s="198"/>
      <c r="D2" s="198"/>
      <c r="E2" s="139" t="s">
        <v>352</v>
      </c>
      <c r="F2" s="139" t="s">
        <v>352</v>
      </c>
      <c r="G2" s="199" t="s">
        <v>353</v>
      </c>
      <c r="H2" s="199"/>
      <c r="I2" s="199"/>
      <c r="J2" s="199"/>
      <c r="K2" s="198" t="s">
        <v>354</v>
      </c>
      <c r="L2" s="198" t="s">
        <v>354</v>
      </c>
      <c r="M2" s="198" t="s">
        <v>354</v>
      </c>
      <c r="N2" s="198" t="s">
        <v>354</v>
      </c>
      <c r="O2" s="198" t="s">
        <v>355</v>
      </c>
      <c r="P2" s="198" t="s">
        <v>355</v>
      </c>
      <c r="Q2" s="198" t="s">
        <v>355</v>
      </c>
      <c r="R2" s="198" t="s">
        <v>355</v>
      </c>
      <c r="S2" s="198" t="s">
        <v>355</v>
      </c>
      <c r="T2" s="198" t="s">
        <v>356</v>
      </c>
      <c r="U2" s="198" t="s">
        <v>356</v>
      </c>
      <c r="V2" s="198" t="s">
        <v>356</v>
      </c>
      <c r="W2" s="198" t="s">
        <v>356</v>
      </c>
      <c r="X2" s="198" t="s">
        <v>356</v>
      </c>
      <c r="Y2" s="198" t="s">
        <v>356</v>
      </c>
      <c r="Z2" s="198" t="s">
        <v>356</v>
      </c>
      <c r="AA2" s="198" t="s">
        <v>356</v>
      </c>
      <c r="AB2" s="198" t="s">
        <v>357</v>
      </c>
      <c r="AC2" s="198"/>
      <c r="AD2" s="7"/>
      <c r="AE2" s="7"/>
      <c r="AF2" s="7"/>
      <c r="AG2" s="7"/>
      <c r="AH2" s="7"/>
      <c r="AI2" s="7"/>
      <c r="AJ2" s="7"/>
      <c r="AK2" s="7"/>
      <c r="AL2" s="7"/>
      <c r="AM2" s="7"/>
      <c r="AN2" s="7"/>
      <c r="AO2" s="7"/>
      <c r="AP2" s="7"/>
      <c r="AQ2" s="7"/>
      <c r="AR2" s="7"/>
      <c r="AS2" s="7"/>
      <c r="AT2" s="7"/>
      <c r="AU2" s="7"/>
      <c r="AV2" s="7"/>
      <c r="AW2" s="7"/>
      <c r="AX2" s="7"/>
      <c r="AY2" s="7"/>
      <c r="AZ2" s="7"/>
      <c r="BA2" s="7"/>
    </row>
    <row r="3" spans="1:53" ht="15.75" customHeight="1">
      <c r="A3" s="200" t="s">
        <v>192</v>
      </c>
      <c r="B3" s="7" t="s">
        <v>40</v>
      </c>
      <c r="C3" s="198">
        <v>62.8</v>
      </c>
      <c r="D3" s="198">
        <v>17.100000000000001</v>
      </c>
      <c r="E3" s="187">
        <v>76</v>
      </c>
      <c r="F3" s="187">
        <v>40</v>
      </c>
      <c r="G3" s="187">
        <v>1.5</v>
      </c>
      <c r="H3" s="187">
        <v>26</v>
      </c>
      <c r="I3" s="187">
        <v>76</v>
      </c>
      <c r="J3" s="187">
        <v>50</v>
      </c>
      <c r="K3" s="198">
        <v>17</v>
      </c>
      <c r="L3" s="198">
        <v>38</v>
      </c>
      <c r="M3" s="198">
        <v>0</v>
      </c>
      <c r="N3" s="198">
        <v>45</v>
      </c>
      <c r="O3" s="198">
        <v>5.0000000000000001E-3</v>
      </c>
      <c r="P3" s="198">
        <v>2E-3</v>
      </c>
      <c r="Q3" s="198">
        <v>0.1</v>
      </c>
      <c r="R3" s="198">
        <v>0.04</v>
      </c>
      <c r="S3" s="198">
        <v>0.02</v>
      </c>
      <c r="T3" s="198">
        <v>43</v>
      </c>
      <c r="U3" s="198">
        <v>10</v>
      </c>
      <c r="V3" s="198">
        <v>24</v>
      </c>
      <c r="W3" s="198">
        <v>15</v>
      </c>
      <c r="X3" s="198">
        <v>26</v>
      </c>
      <c r="Y3" s="198">
        <v>0</v>
      </c>
      <c r="Z3" s="198">
        <v>27</v>
      </c>
      <c r="AA3" s="198">
        <v>0.7</v>
      </c>
      <c r="AB3" s="201" t="s">
        <v>267</v>
      </c>
      <c r="AC3" s="198">
        <v>7</v>
      </c>
      <c r="AD3" s="7"/>
      <c r="AE3" s="7" t="s">
        <v>358</v>
      </c>
      <c r="AF3" s="7"/>
      <c r="AG3" s="7"/>
      <c r="AH3" s="7" t="s">
        <v>359</v>
      </c>
      <c r="AI3" s="7" t="s">
        <v>360</v>
      </c>
      <c r="AJ3" s="7">
        <v>11</v>
      </c>
      <c r="AK3" s="7">
        <v>12</v>
      </c>
      <c r="AL3" s="7">
        <v>13</v>
      </c>
      <c r="AM3" s="7">
        <v>14</v>
      </c>
      <c r="AN3" s="7">
        <v>15</v>
      </c>
      <c r="AO3" s="7">
        <v>16</v>
      </c>
      <c r="AP3" s="7">
        <v>17</v>
      </c>
      <c r="AQ3" s="7">
        <v>18</v>
      </c>
      <c r="AR3" s="7">
        <v>19</v>
      </c>
      <c r="AS3" s="7">
        <v>20</v>
      </c>
      <c r="AT3" s="7">
        <v>21</v>
      </c>
      <c r="AU3" s="7">
        <v>22</v>
      </c>
      <c r="AV3" s="7">
        <v>23</v>
      </c>
      <c r="AW3" s="7">
        <v>24</v>
      </c>
      <c r="AX3" s="7">
        <v>25</v>
      </c>
      <c r="AY3" s="7">
        <v>26</v>
      </c>
      <c r="AZ3" s="7">
        <v>27</v>
      </c>
      <c r="BA3" s="7">
        <v>28</v>
      </c>
    </row>
    <row r="4" spans="1:53" ht="15.75" customHeight="1">
      <c r="A4" s="202" t="s">
        <v>193</v>
      </c>
      <c r="B4" s="7" t="s">
        <v>194</v>
      </c>
      <c r="C4" s="203">
        <v>26.6</v>
      </c>
      <c r="D4" s="203">
        <v>-3</v>
      </c>
      <c r="E4" s="204">
        <v>49</v>
      </c>
      <c r="F4" s="203">
        <v>15</v>
      </c>
      <c r="G4" s="203"/>
      <c r="H4" s="203"/>
      <c r="I4" s="203"/>
      <c r="J4" s="203"/>
      <c r="K4" s="203">
        <v>6</v>
      </c>
      <c r="L4" s="203">
        <v>90</v>
      </c>
      <c r="M4" s="203">
        <v>1</v>
      </c>
      <c r="N4" s="203">
        <v>4</v>
      </c>
      <c r="O4" s="198">
        <v>5.0000000000000001E-3</v>
      </c>
      <c r="P4" s="198">
        <v>2E-3</v>
      </c>
      <c r="Q4" s="198">
        <v>0.1</v>
      </c>
      <c r="R4" s="198">
        <v>0.04</v>
      </c>
      <c r="S4" s="198">
        <v>0.02</v>
      </c>
      <c r="T4" s="198">
        <v>43</v>
      </c>
      <c r="U4" s="198">
        <v>10</v>
      </c>
      <c r="V4" s="198">
        <v>24</v>
      </c>
      <c r="W4" s="198">
        <v>15</v>
      </c>
      <c r="X4" s="198">
        <v>26</v>
      </c>
      <c r="Y4" s="198">
        <v>0</v>
      </c>
      <c r="Z4" s="198">
        <v>27</v>
      </c>
      <c r="AA4" s="198">
        <v>0.7</v>
      </c>
      <c r="AB4" s="198" t="s">
        <v>264</v>
      </c>
      <c r="AC4" s="203">
        <v>50</v>
      </c>
      <c r="AD4" s="7"/>
      <c r="AE4" s="7"/>
      <c r="AF4" s="7"/>
      <c r="AG4" s="7"/>
      <c r="AH4" s="7" t="s">
        <v>361</v>
      </c>
      <c r="AI4" s="7">
        <v>2</v>
      </c>
      <c r="AJ4" s="7"/>
      <c r="AK4" s="7"/>
      <c r="AL4" s="7"/>
      <c r="AM4" s="7"/>
      <c r="AN4" s="7">
        <v>4</v>
      </c>
      <c r="AO4" s="7"/>
      <c r="AP4" s="7"/>
      <c r="AQ4" s="7"/>
      <c r="AR4" s="7"/>
      <c r="AS4" s="7"/>
      <c r="AT4" s="7"/>
      <c r="AU4" s="7"/>
      <c r="AV4" s="7"/>
      <c r="AW4" s="7"/>
      <c r="AX4" s="7"/>
      <c r="AY4" s="7">
        <v>5</v>
      </c>
      <c r="AZ4" s="7"/>
      <c r="BA4" s="7"/>
    </row>
    <row r="5" spans="1:53" ht="15.75" customHeight="1">
      <c r="A5" s="200" t="s">
        <v>195</v>
      </c>
      <c r="B5" s="7" t="s">
        <v>42</v>
      </c>
      <c r="C5" s="198">
        <v>60.3</v>
      </c>
      <c r="D5" s="198">
        <v>15.7</v>
      </c>
      <c r="E5" s="187">
        <v>81</v>
      </c>
      <c r="F5" s="187">
        <v>64</v>
      </c>
      <c r="G5" s="187">
        <v>1.5</v>
      </c>
      <c r="H5" s="187">
        <v>23.5</v>
      </c>
      <c r="I5" s="187">
        <v>75</v>
      </c>
      <c r="J5" s="187">
        <v>50</v>
      </c>
      <c r="K5" s="198">
        <v>10</v>
      </c>
      <c r="L5" s="198">
        <v>90</v>
      </c>
      <c r="M5" s="198">
        <v>0</v>
      </c>
      <c r="N5" s="198">
        <v>0</v>
      </c>
      <c r="O5" s="198">
        <v>5.0000000000000001E-3</v>
      </c>
      <c r="P5" s="198">
        <v>2E-3</v>
      </c>
      <c r="Q5" s="198">
        <v>0.1</v>
      </c>
      <c r="R5" s="198">
        <v>0.04</v>
      </c>
      <c r="S5" s="198">
        <v>0.02</v>
      </c>
      <c r="T5" s="198">
        <v>43</v>
      </c>
      <c r="U5" s="198">
        <v>10</v>
      </c>
      <c r="V5" s="198">
        <v>24</v>
      </c>
      <c r="W5" s="198">
        <v>15</v>
      </c>
      <c r="X5" s="198">
        <v>26</v>
      </c>
      <c r="Y5" s="198">
        <v>0</v>
      </c>
      <c r="Z5" s="198">
        <v>27</v>
      </c>
      <c r="AA5" s="198">
        <v>0.7</v>
      </c>
      <c r="AB5" s="198" t="s">
        <v>264</v>
      </c>
      <c r="AC5" s="198">
        <v>10</v>
      </c>
      <c r="AD5" s="7"/>
      <c r="AE5" s="7"/>
      <c r="AF5" s="7"/>
      <c r="AG5" s="7"/>
      <c r="AH5" s="7" t="s">
        <v>362</v>
      </c>
      <c r="AI5" s="7">
        <v>1</v>
      </c>
      <c r="AJ5" s="7"/>
      <c r="AK5" s="7"/>
      <c r="AL5" s="7"/>
      <c r="AM5" s="7"/>
      <c r="AN5" s="7">
        <v>1.5</v>
      </c>
      <c r="AO5" s="7"/>
      <c r="AP5" s="7"/>
      <c r="AQ5" s="7"/>
      <c r="AR5" s="7"/>
      <c r="AS5" s="7"/>
      <c r="AT5" s="7"/>
      <c r="AU5" s="7"/>
      <c r="AV5" s="7"/>
      <c r="AW5" s="7"/>
      <c r="AX5" s="7"/>
      <c r="AY5" s="7">
        <v>2</v>
      </c>
      <c r="AZ5" s="7"/>
      <c r="BA5" s="7"/>
    </row>
    <row r="6" spans="1:53" ht="15.75" customHeight="1">
      <c r="A6" s="202" t="s">
        <v>196</v>
      </c>
      <c r="B6" s="7" t="s">
        <v>41</v>
      </c>
      <c r="C6" s="203">
        <v>60.4</v>
      </c>
      <c r="D6" s="203">
        <v>15.8</v>
      </c>
      <c r="E6" s="187">
        <v>75</v>
      </c>
      <c r="F6" s="187">
        <v>35</v>
      </c>
      <c r="G6" s="187">
        <v>1.5</v>
      </c>
      <c r="H6" s="187">
        <v>23.5</v>
      </c>
      <c r="I6" s="187">
        <v>75</v>
      </c>
      <c r="J6" s="187">
        <v>50</v>
      </c>
      <c r="K6" s="203">
        <v>15</v>
      </c>
      <c r="L6" s="203">
        <v>28</v>
      </c>
      <c r="M6" s="203">
        <v>0</v>
      </c>
      <c r="N6" s="203">
        <v>57</v>
      </c>
      <c r="O6" s="198">
        <v>5.0000000000000001E-3</v>
      </c>
      <c r="P6" s="198">
        <v>2E-3</v>
      </c>
      <c r="Q6" s="198">
        <v>0.1</v>
      </c>
      <c r="R6" s="198">
        <v>0.04</v>
      </c>
      <c r="S6" s="198">
        <v>0.02</v>
      </c>
      <c r="T6" s="198">
        <v>43</v>
      </c>
      <c r="U6" s="198">
        <v>10</v>
      </c>
      <c r="V6" s="198">
        <v>24</v>
      </c>
      <c r="W6" s="198">
        <v>15</v>
      </c>
      <c r="X6" s="198">
        <v>26</v>
      </c>
      <c r="Y6" s="198">
        <v>0</v>
      </c>
      <c r="Z6" s="198">
        <v>27</v>
      </c>
      <c r="AA6" s="198">
        <v>0.7</v>
      </c>
      <c r="AB6" s="201" t="s">
        <v>267</v>
      </c>
      <c r="AC6" s="203">
        <v>9</v>
      </c>
      <c r="AD6" s="7"/>
      <c r="AE6" s="7"/>
      <c r="AF6" s="7"/>
      <c r="AG6" s="7"/>
      <c r="AH6" s="7" t="s">
        <v>363</v>
      </c>
      <c r="AI6" s="7">
        <v>10</v>
      </c>
      <c r="AJ6" s="7">
        <v>11</v>
      </c>
      <c r="AK6" s="7">
        <v>13</v>
      </c>
      <c r="AL6" s="7">
        <v>14</v>
      </c>
      <c r="AM6" s="7">
        <v>15</v>
      </c>
      <c r="AN6" s="7">
        <v>17</v>
      </c>
      <c r="AO6" s="7">
        <v>18</v>
      </c>
      <c r="AP6" s="7">
        <v>20</v>
      </c>
      <c r="AQ6" s="7">
        <v>22</v>
      </c>
      <c r="AR6" s="7">
        <v>24</v>
      </c>
      <c r="AS6" s="7">
        <v>26</v>
      </c>
      <c r="AT6" s="7">
        <v>29</v>
      </c>
      <c r="AU6" s="7">
        <v>31</v>
      </c>
      <c r="AV6" s="7">
        <v>34</v>
      </c>
      <c r="AW6" s="7">
        <v>37</v>
      </c>
      <c r="AX6" s="7">
        <v>41</v>
      </c>
      <c r="AY6" s="7">
        <v>44</v>
      </c>
      <c r="AZ6" s="7">
        <v>48</v>
      </c>
      <c r="BA6" s="7">
        <v>50</v>
      </c>
    </row>
    <row r="7" spans="1:53" ht="15.75" customHeight="1">
      <c r="A7" s="200" t="s">
        <v>197</v>
      </c>
      <c r="B7" s="7" t="s">
        <v>37</v>
      </c>
      <c r="C7" s="198">
        <v>59.4</v>
      </c>
      <c r="D7" s="198">
        <v>15.2</v>
      </c>
      <c r="E7" s="187">
        <v>75</v>
      </c>
      <c r="F7" s="187">
        <v>34</v>
      </c>
      <c r="G7" s="187">
        <v>1.5</v>
      </c>
      <c r="H7" s="187">
        <v>22</v>
      </c>
      <c r="I7" s="187">
        <v>74</v>
      </c>
      <c r="J7" s="187">
        <v>50</v>
      </c>
      <c r="K7" s="198">
        <v>11</v>
      </c>
      <c r="L7" s="198">
        <v>88</v>
      </c>
      <c r="M7" s="198">
        <v>1</v>
      </c>
      <c r="N7" s="198">
        <v>1</v>
      </c>
      <c r="O7" s="198">
        <v>5.0000000000000001E-3</v>
      </c>
      <c r="P7" s="198">
        <v>2E-3</v>
      </c>
      <c r="Q7" s="198">
        <v>0.1</v>
      </c>
      <c r="R7" s="198">
        <v>0.04</v>
      </c>
      <c r="S7" s="198">
        <v>0.02</v>
      </c>
      <c r="T7" s="198">
        <v>43</v>
      </c>
      <c r="U7" s="198">
        <v>10</v>
      </c>
      <c r="V7" s="198">
        <v>24</v>
      </c>
      <c r="W7" s="198">
        <v>15</v>
      </c>
      <c r="X7" s="198">
        <v>26</v>
      </c>
      <c r="Y7" s="198">
        <v>0</v>
      </c>
      <c r="Z7" s="198">
        <v>27</v>
      </c>
      <c r="AA7" s="198">
        <v>0.7</v>
      </c>
      <c r="AB7" s="198" t="s">
        <v>264</v>
      </c>
      <c r="AC7" s="198">
        <v>12</v>
      </c>
      <c r="AD7" s="7"/>
      <c r="AE7" s="7"/>
      <c r="AF7" s="7"/>
      <c r="AG7" s="7"/>
      <c r="AH7" s="7" t="s">
        <v>364</v>
      </c>
      <c r="AI7" s="7">
        <v>17</v>
      </c>
      <c r="AJ7" s="7">
        <v>19</v>
      </c>
      <c r="AK7" s="7">
        <v>20</v>
      </c>
      <c r="AL7" s="7">
        <v>22</v>
      </c>
      <c r="AM7" s="7">
        <v>25</v>
      </c>
      <c r="AN7" s="7">
        <v>27</v>
      </c>
      <c r="AO7" s="7">
        <v>29</v>
      </c>
      <c r="AP7" s="7">
        <v>32</v>
      </c>
      <c r="AQ7" s="7">
        <v>35</v>
      </c>
      <c r="AR7" s="7">
        <v>39</v>
      </c>
      <c r="AS7" s="7">
        <v>42</v>
      </c>
      <c r="AT7" s="7">
        <v>46</v>
      </c>
      <c r="AU7" s="7">
        <v>50</v>
      </c>
      <c r="AV7" s="7">
        <v>55</v>
      </c>
      <c r="AW7" s="7">
        <v>60</v>
      </c>
      <c r="AX7" s="7">
        <v>65</v>
      </c>
      <c r="AY7" s="7">
        <v>71</v>
      </c>
      <c r="AZ7" s="7">
        <v>78</v>
      </c>
      <c r="BA7" s="7">
        <v>80</v>
      </c>
    </row>
    <row r="8" spans="1:53" ht="15.75" customHeight="1">
      <c r="A8" s="202" t="s">
        <v>198</v>
      </c>
      <c r="B8" s="7" t="s">
        <v>43</v>
      </c>
      <c r="C8" s="203">
        <v>45.1</v>
      </c>
      <c r="D8" s="203">
        <v>7.3</v>
      </c>
      <c r="E8" s="187">
        <v>70</v>
      </c>
      <c r="F8" s="187">
        <v>23</v>
      </c>
      <c r="G8" s="187">
        <v>1</v>
      </c>
      <c r="H8" s="187">
        <v>13.5</v>
      </c>
      <c r="I8" s="187">
        <v>66</v>
      </c>
      <c r="J8" s="187">
        <v>50</v>
      </c>
      <c r="K8" s="203">
        <v>1</v>
      </c>
      <c r="L8" s="203">
        <v>98</v>
      </c>
      <c r="M8" s="203">
        <v>0</v>
      </c>
      <c r="N8" s="203">
        <v>1</v>
      </c>
      <c r="O8" s="198">
        <v>5.0000000000000001E-3</v>
      </c>
      <c r="P8" s="198">
        <v>2E-3</v>
      </c>
      <c r="Q8" s="198">
        <v>0.1</v>
      </c>
      <c r="R8" s="198">
        <v>0.04</v>
      </c>
      <c r="S8" s="198">
        <v>0.02</v>
      </c>
      <c r="T8" s="198">
        <v>43</v>
      </c>
      <c r="U8" s="198">
        <v>10</v>
      </c>
      <c r="V8" s="198">
        <v>24</v>
      </c>
      <c r="W8" s="198">
        <v>15</v>
      </c>
      <c r="X8" s="198">
        <v>26</v>
      </c>
      <c r="Y8" s="198">
        <v>0</v>
      </c>
      <c r="Z8" s="198">
        <v>27</v>
      </c>
      <c r="AA8" s="198">
        <v>0.7</v>
      </c>
      <c r="AB8" s="198" t="s">
        <v>264</v>
      </c>
      <c r="AC8" s="203">
        <v>39</v>
      </c>
      <c r="AD8" s="7"/>
      <c r="AE8" s="7"/>
      <c r="AF8" s="7"/>
      <c r="AG8" s="7"/>
      <c r="AH8" s="7" t="s">
        <v>365</v>
      </c>
      <c r="AI8" s="7">
        <v>66</v>
      </c>
      <c r="AJ8" s="7">
        <v>68</v>
      </c>
      <c r="AK8" s="7">
        <v>70</v>
      </c>
      <c r="AL8" s="7">
        <v>71</v>
      </c>
      <c r="AM8" s="7">
        <v>73</v>
      </c>
      <c r="AN8" s="7">
        <v>74</v>
      </c>
      <c r="AO8" s="7">
        <v>75</v>
      </c>
      <c r="AP8" s="7">
        <v>76</v>
      </c>
      <c r="AQ8" s="7">
        <v>77</v>
      </c>
      <c r="AR8" s="7">
        <v>77</v>
      </c>
      <c r="AS8" s="7">
        <v>78</v>
      </c>
      <c r="AT8" s="7">
        <v>78</v>
      </c>
      <c r="AU8" s="7">
        <v>78</v>
      </c>
      <c r="AV8" s="7">
        <v>79</v>
      </c>
      <c r="AW8" s="7">
        <v>79</v>
      </c>
      <c r="AX8" s="7">
        <v>79</v>
      </c>
      <c r="AY8" s="7">
        <v>79</v>
      </c>
      <c r="AZ8" s="7">
        <v>80</v>
      </c>
      <c r="BA8" s="7">
        <v>80</v>
      </c>
    </row>
    <row r="9" spans="1:53" ht="15.75" customHeight="1">
      <c r="A9" s="200" t="s">
        <v>199</v>
      </c>
      <c r="B9" s="7" t="s">
        <v>44</v>
      </c>
      <c r="C9" s="198">
        <v>49</v>
      </c>
      <c r="D9" s="198">
        <v>9.4</v>
      </c>
      <c r="E9" s="187">
        <v>71</v>
      </c>
      <c r="F9" s="187">
        <v>26</v>
      </c>
      <c r="G9" s="187">
        <v>1</v>
      </c>
      <c r="H9" s="187">
        <v>13.5</v>
      </c>
      <c r="I9" s="187">
        <v>66</v>
      </c>
      <c r="J9" s="187">
        <v>50</v>
      </c>
      <c r="K9" s="198">
        <v>43</v>
      </c>
      <c r="L9" s="198">
        <v>51</v>
      </c>
      <c r="M9" s="198">
        <v>0</v>
      </c>
      <c r="N9" s="198">
        <v>6</v>
      </c>
      <c r="O9" s="198">
        <v>5.0000000000000001E-3</v>
      </c>
      <c r="P9" s="198">
        <v>2E-3</v>
      </c>
      <c r="Q9" s="198">
        <v>0.1</v>
      </c>
      <c r="R9" s="198">
        <v>0.04</v>
      </c>
      <c r="S9" s="198">
        <v>0.02</v>
      </c>
      <c r="T9" s="198">
        <v>43</v>
      </c>
      <c r="U9" s="198">
        <v>10</v>
      </c>
      <c r="V9" s="198">
        <v>24</v>
      </c>
      <c r="W9" s="198">
        <v>15</v>
      </c>
      <c r="X9" s="198">
        <v>26</v>
      </c>
      <c r="Y9" s="198">
        <v>0</v>
      </c>
      <c r="Z9" s="198">
        <v>27</v>
      </c>
      <c r="AA9" s="198">
        <v>0.7</v>
      </c>
      <c r="AB9" s="198" t="s">
        <v>266</v>
      </c>
      <c r="AC9" s="198">
        <v>29</v>
      </c>
      <c r="AD9" s="7"/>
      <c r="AE9" s="7"/>
      <c r="AF9" s="7"/>
      <c r="AG9" s="7"/>
      <c r="AH9" s="7"/>
      <c r="AI9" s="7"/>
      <c r="AJ9" s="7"/>
      <c r="AK9" s="7"/>
      <c r="AL9" s="7"/>
      <c r="AM9" s="7"/>
      <c r="AN9" s="7"/>
      <c r="AO9" s="7"/>
      <c r="AP9" s="7"/>
      <c r="AQ9" s="7"/>
      <c r="AR9" s="7"/>
      <c r="AS9" s="7"/>
      <c r="AT9" s="7"/>
      <c r="AU9" s="7"/>
      <c r="AV9" s="7"/>
      <c r="AW9" s="7"/>
      <c r="AX9" s="7"/>
      <c r="AY9" s="7"/>
      <c r="AZ9" s="7"/>
      <c r="BA9" s="7"/>
    </row>
    <row r="10" spans="1:53" ht="15.75" customHeight="1">
      <c r="A10" s="202" t="s">
        <v>200</v>
      </c>
      <c r="B10" s="7" t="s">
        <v>45</v>
      </c>
      <c r="C10" s="203">
        <v>55.3</v>
      </c>
      <c r="D10" s="203">
        <v>12.9</v>
      </c>
      <c r="E10" s="187">
        <v>75</v>
      </c>
      <c r="F10" s="187">
        <v>34</v>
      </c>
      <c r="G10" s="187">
        <v>1</v>
      </c>
      <c r="H10" s="187">
        <v>18</v>
      </c>
      <c r="I10" s="187">
        <v>71</v>
      </c>
      <c r="J10" s="187">
        <v>50</v>
      </c>
      <c r="K10" s="203">
        <v>44</v>
      </c>
      <c r="L10" s="203">
        <v>50</v>
      </c>
      <c r="M10" s="203">
        <v>0</v>
      </c>
      <c r="N10" s="203">
        <v>6</v>
      </c>
      <c r="O10" s="198">
        <v>5.0000000000000001E-3</v>
      </c>
      <c r="P10" s="198">
        <v>2E-3</v>
      </c>
      <c r="Q10" s="198">
        <v>0.1</v>
      </c>
      <c r="R10" s="198">
        <v>0.04</v>
      </c>
      <c r="S10" s="198">
        <v>0.02</v>
      </c>
      <c r="T10" s="198">
        <v>43</v>
      </c>
      <c r="U10" s="198">
        <v>10</v>
      </c>
      <c r="V10" s="198">
        <v>24</v>
      </c>
      <c r="W10" s="198">
        <v>15</v>
      </c>
      <c r="X10" s="198">
        <v>26</v>
      </c>
      <c r="Y10" s="198">
        <v>0</v>
      </c>
      <c r="Z10" s="198">
        <v>27</v>
      </c>
      <c r="AA10" s="198">
        <v>0.7</v>
      </c>
      <c r="AB10" s="198" t="s">
        <v>266</v>
      </c>
      <c r="AC10" s="203">
        <v>16</v>
      </c>
      <c r="AD10" s="7"/>
      <c r="AE10" s="7"/>
      <c r="AF10" s="7"/>
      <c r="AG10" s="7"/>
      <c r="AH10" s="7" t="s">
        <v>366</v>
      </c>
      <c r="AI10" s="7"/>
      <c r="AJ10" s="7"/>
      <c r="AK10" s="7"/>
      <c r="AL10" s="7"/>
      <c r="AM10" s="7"/>
      <c r="AN10" s="7"/>
      <c r="AO10" s="7"/>
      <c r="AP10" s="7"/>
      <c r="AQ10" s="7"/>
      <c r="AR10" s="7"/>
      <c r="AS10" s="7"/>
      <c r="AT10" s="7"/>
      <c r="AU10" s="7"/>
      <c r="AV10" s="7"/>
      <c r="AW10" s="7"/>
      <c r="AX10" s="7"/>
      <c r="AY10" s="7"/>
      <c r="AZ10" s="7"/>
      <c r="BA10" s="7"/>
    </row>
    <row r="11" spans="1:53" ht="15.75" customHeight="1">
      <c r="A11" s="200" t="s">
        <v>201</v>
      </c>
      <c r="B11" s="7" t="s">
        <v>46</v>
      </c>
      <c r="C11" s="198">
        <v>70.7</v>
      </c>
      <c r="D11" s="198">
        <v>21.5</v>
      </c>
      <c r="E11" s="187">
        <v>78</v>
      </c>
      <c r="F11" s="187">
        <v>60</v>
      </c>
      <c r="G11" s="187">
        <v>1.5</v>
      </c>
      <c r="H11" s="187">
        <v>40.5</v>
      </c>
      <c r="I11" s="187">
        <v>78</v>
      </c>
      <c r="J11" s="187">
        <v>50</v>
      </c>
      <c r="K11" s="198">
        <v>22</v>
      </c>
      <c r="L11" s="198">
        <v>61</v>
      </c>
      <c r="M11" s="198">
        <v>1</v>
      </c>
      <c r="N11" s="198">
        <v>17</v>
      </c>
      <c r="O11" s="198">
        <v>5.0000000000000001E-3</v>
      </c>
      <c r="P11" s="198">
        <v>2E-3</v>
      </c>
      <c r="Q11" s="198">
        <v>0.1</v>
      </c>
      <c r="R11" s="198">
        <v>0.04</v>
      </c>
      <c r="S11" s="198">
        <v>0.02</v>
      </c>
      <c r="T11" s="198">
        <v>43</v>
      </c>
      <c r="U11" s="198">
        <v>10</v>
      </c>
      <c r="V11" s="198">
        <v>24</v>
      </c>
      <c r="W11" s="198">
        <v>15</v>
      </c>
      <c r="X11" s="198">
        <v>26</v>
      </c>
      <c r="Y11" s="198">
        <v>0</v>
      </c>
      <c r="Z11" s="198">
        <v>27</v>
      </c>
      <c r="AA11" s="198">
        <v>0.7</v>
      </c>
      <c r="AB11" s="201" t="s">
        <v>267</v>
      </c>
      <c r="AC11" s="198">
        <v>1</v>
      </c>
      <c r="AD11" s="7"/>
      <c r="AE11" s="7"/>
      <c r="AF11" s="7"/>
      <c r="AG11" s="7"/>
      <c r="AH11" s="7" t="s">
        <v>359</v>
      </c>
      <c r="AI11" s="14" t="s">
        <v>361</v>
      </c>
      <c r="AJ11" s="14" t="s">
        <v>362</v>
      </c>
      <c r="AK11" s="185" t="s">
        <v>367</v>
      </c>
      <c r="AL11" s="14" t="s">
        <v>365</v>
      </c>
      <c r="AM11" s="185" t="s">
        <v>368</v>
      </c>
      <c r="AN11" s="7"/>
      <c r="AO11" s="14" t="s">
        <v>363</v>
      </c>
      <c r="AP11" s="14" t="s">
        <v>364</v>
      </c>
      <c r="AQ11" s="7"/>
      <c r="AR11" s="7"/>
      <c r="AS11" s="7"/>
      <c r="AT11" s="7"/>
      <c r="AU11" s="7"/>
      <c r="AV11" s="7"/>
      <c r="AW11" s="7"/>
      <c r="AX11" s="7"/>
      <c r="AY11" s="7"/>
      <c r="AZ11" s="7"/>
      <c r="BA11" s="7"/>
    </row>
    <row r="12" spans="1:53" ht="15.75" customHeight="1">
      <c r="A12" s="202" t="s">
        <v>202</v>
      </c>
      <c r="B12" s="7" t="s">
        <v>47</v>
      </c>
      <c r="C12" s="203">
        <v>63.5</v>
      </c>
      <c r="D12" s="203">
        <v>17.5</v>
      </c>
      <c r="E12" s="187">
        <v>76</v>
      </c>
      <c r="F12" s="187">
        <v>43</v>
      </c>
      <c r="G12" s="187">
        <v>1.5</v>
      </c>
      <c r="H12" s="187">
        <v>28.5</v>
      </c>
      <c r="I12" s="187">
        <v>77</v>
      </c>
      <c r="J12" s="187">
        <v>50</v>
      </c>
      <c r="K12" s="203">
        <v>18</v>
      </c>
      <c r="L12" s="203">
        <v>42</v>
      </c>
      <c r="M12" s="203">
        <v>0</v>
      </c>
      <c r="N12" s="203">
        <v>40</v>
      </c>
      <c r="O12" s="198">
        <v>5.0000000000000001E-3</v>
      </c>
      <c r="P12" s="198">
        <v>2E-3</v>
      </c>
      <c r="Q12" s="198">
        <v>0.1</v>
      </c>
      <c r="R12" s="198">
        <v>0.04</v>
      </c>
      <c r="S12" s="198">
        <v>0.02</v>
      </c>
      <c r="T12" s="198">
        <v>43</v>
      </c>
      <c r="U12" s="198">
        <v>10</v>
      </c>
      <c r="V12" s="198">
        <v>24</v>
      </c>
      <c r="W12" s="198">
        <v>15</v>
      </c>
      <c r="X12" s="198">
        <v>26</v>
      </c>
      <c r="Y12" s="198">
        <v>0</v>
      </c>
      <c r="Z12" s="198">
        <v>27</v>
      </c>
      <c r="AA12" s="198">
        <v>0.7</v>
      </c>
      <c r="AB12" s="201" t="s">
        <v>267</v>
      </c>
      <c r="AC12" s="203">
        <v>5</v>
      </c>
      <c r="AD12" s="7"/>
      <c r="AE12" s="7"/>
      <c r="AF12" s="7"/>
      <c r="AG12" s="7"/>
      <c r="AH12" s="187">
        <v>10</v>
      </c>
      <c r="AI12" s="187">
        <v>2</v>
      </c>
      <c r="AJ12" s="187">
        <v>1</v>
      </c>
      <c r="AK12" s="187">
        <v>13.5</v>
      </c>
      <c r="AL12" s="187">
        <v>66</v>
      </c>
      <c r="AM12" s="187">
        <v>50</v>
      </c>
      <c r="AN12" s="7"/>
      <c r="AO12" s="7">
        <v>10</v>
      </c>
      <c r="AP12" s="7">
        <v>17</v>
      </c>
      <c r="AQ12" s="7"/>
      <c r="AR12" s="7"/>
      <c r="AS12" s="7"/>
      <c r="AT12" s="7"/>
      <c r="AU12" s="7"/>
      <c r="AV12" s="7"/>
      <c r="AW12" s="7"/>
      <c r="AX12" s="7"/>
      <c r="AY12" s="7"/>
      <c r="AZ12" s="7"/>
      <c r="BA12" s="7"/>
    </row>
    <row r="13" spans="1:53" ht="15.75" customHeight="1">
      <c r="A13" s="200" t="s">
        <v>203</v>
      </c>
      <c r="B13" s="7" t="s">
        <v>204</v>
      </c>
      <c r="C13" s="198">
        <v>70</v>
      </c>
      <c r="D13" s="198">
        <v>21.1</v>
      </c>
      <c r="E13" s="187">
        <v>77</v>
      </c>
      <c r="F13" s="187">
        <v>60</v>
      </c>
      <c r="G13" s="187">
        <v>1.5</v>
      </c>
      <c r="H13" s="187">
        <v>37.5</v>
      </c>
      <c r="I13" s="187">
        <v>78</v>
      </c>
      <c r="J13" s="187">
        <v>50</v>
      </c>
      <c r="K13" s="198">
        <v>0</v>
      </c>
      <c r="L13" s="198">
        <v>99</v>
      </c>
      <c r="M13" s="198">
        <v>1</v>
      </c>
      <c r="N13" s="198">
        <v>1</v>
      </c>
      <c r="O13" s="198">
        <v>5.0000000000000001E-3</v>
      </c>
      <c r="P13" s="198">
        <v>2E-3</v>
      </c>
      <c r="Q13" s="198">
        <v>0.1</v>
      </c>
      <c r="R13" s="198">
        <v>0.04</v>
      </c>
      <c r="S13" s="198">
        <v>0.02</v>
      </c>
      <c r="T13" s="198">
        <v>43</v>
      </c>
      <c r="U13" s="198">
        <v>10</v>
      </c>
      <c r="V13" s="198">
        <v>24</v>
      </c>
      <c r="W13" s="198">
        <v>15</v>
      </c>
      <c r="X13" s="198">
        <v>26</v>
      </c>
      <c r="Y13" s="198">
        <v>0</v>
      </c>
      <c r="Z13" s="198">
        <v>27</v>
      </c>
      <c r="AA13" s="198">
        <v>0.7</v>
      </c>
      <c r="AB13" s="198" t="s">
        <v>264</v>
      </c>
      <c r="AC13" s="198">
        <v>2</v>
      </c>
      <c r="AD13" s="7"/>
      <c r="AE13" s="7"/>
      <c r="AF13" s="7"/>
      <c r="AG13" s="7"/>
      <c r="AH13" s="187">
        <v>11</v>
      </c>
      <c r="AI13" s="187">
        <v>2</v>
      </c>
      <c r="AJ13" s="187">
        <v>1</v>
      </c>
      <c r="AK13" s="187">
        <v>15</v>
      </c>
      <c r="AL13" s="187">
        <v>68</v>
      </c>
      <c r="AM13" s="187">
        <v>50</v>
      </c>
      <c r="AN13" s="7"/>
      <c r="AO13" s="7">
        <v>11</v>
      </c>
      <c r="AP13" s="7">
        <v>19</v>
      </c>
      <c r="AQ13" s="7"/>
      <c r="AR13" s="7"/>
      <c r="AS13" s="7"/>
      <c r="AT13" s="7"/>
      <c r="AU13" s="7"/>
      <c r="AV13" s="7"/>
      <c r="AW13" s="7"/>
      <c r="AX13" s="7"/>
      <c r="AY13" s="7"/>
      <c r="AZ13" s="7"/>
      <c r="BA13" s="7"/>
    </row>
    <row r="14" spans="1:53" ht="15.75" customHeight="1">
      <c r="A14" s="202" t="s">
        <v>205</v>
      </c>
      <c r="B14" s="7" t="s">
        <v>49</v>
      </c>
      <c r="C14" s="203">
        <v>44.4</v>
      </c>
      <c r="D14" s="203">
        <v>6.9</v>
      </c>
      <c r="E14" s="187">
        <v>64</v>
      </c>
      <c r="F14" s="187">
        <v>24</v>
      </c>
      <c r="G14" s="187">
        <v>1</v>
      </c>
      <c r="H14" s="187">
        <v>13.5</v>
      </c>
      <c r="I14" s="187">
        <v>66</v>
      </c>
      <c r="J14" s="187">
        <v>50</v>
      </c>
      <c r="K14" s="203">
        <v>1</v>
      </c>
      <c r="L14" s="203">
        <v>99</v>
      </c>
      <c r="M14" s="203">
        <v>0</v>
      </c>
      <c r="N14" s="203">
        <v>0</v>
      </c>
      <c r="O14" s="198">
        <v>5.0000000000000001E-3</v>
      </c>
      <c r="P14" s="198">
        <v>2E-3</v>
      </c>
      <c r="Q14" s="198">
        <v>0.1</v>
      </c>
      <c r="R14" s="198">
        <v>0.04</v>
      </c>
      <c r="S14" s="198">
        <v>0.02</v>
      </c>
      <c r="T14" s="198">
        <v>43</v>
      </c>
      <c r="U14" s="198">
        <v>10</v>
      </c>
      <c r="V14" s="198">
        <v>24</v>
      </c>
      <c r="W14" s="198">
        <v>15</v>
      </c>
      <c r="X14" s="198">
        <v>26</v>
      </c>
      <c r="Y14" s="198">
        <v>0</v>
      </c>
      <c r="Z14" s="198">
        <v>27</v>
      </c>
      <c r="AA14" s="198">
        <v>0.7</v>
      </c>
      <c r="AB14" s="198" t="s">
        <v>264</v>
      </c>
      <c r="AC14" s="203">
        <v>40</v>
      </c>
      <c r="AD14" s="7"/>
      <c r="AE14" s="7"/>
      <c r="AF14" s="7"/>
      <c r="AG14" s="7"/>
      <c r="AH14" s="187">
        <v>12</v>
      </c>
      <c r="AI14" s="187">
        <v>2</v>
      </c>
      <c r="AJ14" s="187">
        <v>1</v>
      </c>
      <c r="AK14" s="187">
        <v>16.5</v>
      </c>
      <c r="AL14" s="187">
        <v>70</v>
      </c>
      <c r="AM14" s="187">
        <v>50</v>
      </c>
      <c r="AN14" s="7"/>
      <c r="AO14" s="7">
        <v>13</v>
      </c>
      <c r="AP14" s="7">
        <v>20</v>
      </c>
      <c r="AQ14" s="7"/>
      <c r="AR14" s="7"/>
      <c r="AS14" s="7"/>
      <c r="AT14" s="7"/>
      <c r="AU14" s="7"/>
      <c r="AV14" s="7"/>
      <c r="AW14" s="7"/>
      <c r="AX14" s="7"/>
      <c r="AY14" s="7"/>
      <c r="AZ14" s="7"/>
      <c r="BA14" s="7"/>
    </row>
    <row r="15" spans="1:53" ht="15.75" customHeight="1">
      <c r="A15" s="200" t="s">
        <v>206</v>
      </c>
      <c r="B15" s="7" t="s">
        <v>50</v>
      </c>
      <c r="C15" s="198">
        <v>51.8</v>
      </c>
      <c r="D15" s="198">
        <v>11</v>
      </c>
      <c r="E15" s="187">
        <v>72</v>
      </c>
      <c r="F15" s="187">
        <v>29</v>
      </c>
      <c r="G15" s="187">
        <v>1</v>
      </c>
      <c r="H15" s="187">
        <v>15</v>
      </c>
      <c r="I15" s="187">
        <v>68</v>
      </c>
      <c r="J15" s="187">
        <v>50</v>
      </c>
      <c r="K15" s="198">
        <v>8</v>
      </c>
      <c r="L15" s="198">
        <v>87</v>
      </c>
      <c r="M15" s="198">
        <v>0</v>
      </c>
      <c r="N15" s="198">
        <v>5</v>
      </c>
      <c r="O15" s="198">
        <v>5.0000000000000001E-3</v>
      </c>
      <c r="P15" s="198">
        <v>2E-3</v>
      </c>
      <c r="Q15" s="198">
        <v>0.1</v>
      </c>
      <c r="R15" s="198">
        <v>0.04</v>
      </c>
      <c r="S15" s="198">
        <v>0.02</v>
      </c>
      <c r="T15" s="198">
        <v>43</v>
      </c>
      <c r="U15" s="198">
        <v>10</v>
      </c>
      <c r="V15" s="198">
        <v>24</v>
      </c>
      <c r="W15" s="198">
        <v>15</v>
      </c>
      <c r="X15" s="198">
        <v>26</v>
      </c>
      <c r="Y15" s="198">
        <v>0</v>
      </c>
      <c r="Z15" s="198">
        <v>27</v>
      </c>
      <c r="AA15" s="198">
        <v>0.7</v>
      </c>
      <c r="AB15" s="198" t="s">
        <v>265</v>
      </c>
      <c r="AC15" s="198">
        <v>23</v>
      </c>
      <c r="AD15" s="7"/>
      <c r="AE15" s="7"/>
      <c r="AF15" s="7"/>
      <c r="AG15" s="7"/>
      <c r="AH15" s="187">
        <v>13</v>
      </c>
      <c r="AI15" s="187">
        <v>2</v>
      </c>
      <c r="AJ15" s="187">
        <v>1</v>
      </c>
      <c r="AK15" s="187">
        <v>18</v>
      </c>
      <c r="AL15" s="187">
        <v>71</v>
      </c>
      <c r="AM15" s="187">
        <v>50</v>
      </c>
      <c r="AN15" s="7"/>
      <c r="AO15" s="7">
        <v>14</v>
      </c>
      <c r="AP15" s="7">
        <v>22</v>
      </c>
      <c r="AQ15" s="7"/>
      <c r="AR15" s="7"/>
      <c r="AS15" s="7"/>
      <c r="AT15" s="7"/>
      <c r="AU15" s="7"/>
      <c r="AV15" s="7"/>
      <c r="AW15" s="7"/>
      <c r="AX15" s="7"/>
      <c r="AY15" s="7"/>
      <c r="AZ15" s="7"/>
      <c r="BA15" s="7"/>
    </row>
    <row r="16" spans="1:53" ht="15.75" customHeight="1">
      <c r="A16" s="202" t="s">
        <v>207</v>
      </c>
      <c r="B16" s="7" t="s">
        <v>51</v>
      </c>
      <c r="C16" s="203">
        <v>51.7</v>
      </c>
      <c r="D16" s="203">
        <v>10.9</v>
      </c>
      <c r="E16" s="187">
        <v>71</v>
      </c>
      <c r="F16" s="187">
        <v>27</v>
      </c>
      <c r="G16" s="187">
        <v>1</v>
      </c>
      <c r="H16" s="187">
        <v>15</v>
      </c>
      <c r="I16" s="187">
        <v>68</v>
      </c>
      <c r="J16" s="187">
        <v>50</v>
      </c>
      <c r="K16" s="203">
        <v>13</v>
      </c>
      <c r="L16" s="203">
        <v>79</v>
      </c>
      <c r="M16" s="203">
        <v>0</v>
      </c>
      <c r="N16" s="203">
        <v>8</v>
      </c>
      <c r="O16" s="198">
        <v>5.0000000000000001E-3</v>
      </c>
      <c r="P16" s="198">
        <v>2E-3</v>
      </c>
      <c r="Q16" s="198">
        <v>0.1</v>
      </c>
      <c r="R16" s="198">
        <v>0.04</v>
      </c>
      <c r="S16" s="198">
        <v>0.02</v>
      </c>
      <c r="T16" s="198">
        <v>43</v>
      </c>
      <c r="U16" s="198">
        <v>10</v>
      </c>
      <c r="V16" s="198">
        <v>24</v>
      </c>
      <c r="W16" s="198">
        <v>15</v>
      </c>
      <c r="X16" s="198">
        <v>26</v>
      </c>
      <c r="Y16" s="198">
        <v>0</v>
      </c>
      <c r="Z16" s="198">
        <v>27</v>
      </c>
      <c r="AA16" s="198">
        <v>0.7</v>
      </c>
      <c r="AB16" s="198" t="s">
        <v>265</v>
      </c>
      <c r="AC16" s="203">
        <v>25</v>
      </c>
      <c r="AD16" s="7"/>
      <c r="AE16" s="7"/>
      <c r="AF16" s="7"/>
      <c r="AG16" s="7"/>
      <c r="AH16" s="187">
        <v>14</v>
      </c>
      <c r="AI16" s="187">
        <v>2</v>
      </c>
      <c r="AJ16" s="187">
        <v>1</v>
      </c>
      <c r="AK16" s="187">
        <v>20</v>
      </c>
      <c r="AL16" s="187">
        <v>73</v>
      </c>
      <c r="AM16" s="187">
        <v>50</v>
      </c>
      <c r="AN16" s="7"/>
      <c r="AO16" s="7">
        <v>15</v>
      </c>
      <c r="AP16" s="7">
        <v>25</v>
      </c>
      <c r="AQ16" s="7"/>
      <c r="AR16" s="7"/>
      <c r="AS16" s="7"/>
      <c r="AT16" s="7"/>
      <c r="AU16" s="7"/>
      <c r="AV16" s="7"/>
      <c r="AW16" s="7"/>
      <c r="AX16" s="7"/>
      <c r="AY16" s="7"/>
      <c r="AZ16" s="7"/>
      <c r="BA16" s="7"/>
    </row>
    <row r="17" spans="1:53" ht="15.75" customHeight="1">
      <c r="A17" s="200" t="s">
        <v>208</v>
      </c>
      <c r="B17" s="7" t="s">
        <v>48</v>
      </c>
      <c r="C17" s="198">
        <v>47.8</v>
      </c>
      <c r="D17" s="198">
        <v>8.8000000000000007</v>
      </c>
      <c r="E17" s="187">
        <v>70</v>
      </c>
      <c r="F17" s="187">
        <v>26</v>
      </c>
      <c r="G17" s="187">
        <v>1</v>
      </c>
      <c r="H17" s="187">
        <v>13.5</v>
      </c>
      <c r="I17" s="187">
        <v>66</v>
      </c>
      <c r="J17" s="187">
        <v>50</v>
      </c>
      <c r="K17" s="198">
        <v>10</v>
      </c>
      <c r="L17" s="198">
        <v>83</v>
      </c>
      <c r="M17" s="198">
        <v>0</v>
      </c>
      <c r="N17" s="198">
        <v>6</v>
      </c>
      <c r="O17" s="198">
        <v>5.0000000000000001E-3</v>
      </c>
      <c r="P17" s="198">
        <v>2E-3</v>
      </c>
      <c r="Q17" s="198">
        <v>0.1</v>
      </c>
      <c r="R17" s="198">
        <v>0.04</v>
      </c>
      <c r="S17" s="198">
        <v>0.02</v>
      </c>
      <c r="T17" s="198">
        <v>43</v>
      </c>
      <c r="U17" s="198">
        <v>10</v>
      </c>
      <c r="V17" s="198">
        <v>24</v>
      </c>
      <c r="W17" s="198">
        <v>15</v>
      </c>
      <c r="X17" s="198">
        <v>26</v>
      </c>
      <c r="Y17" s="198">
        <v>0</v>
      </c>
      <c r="Z17" s="198">
        <v>27</v>
      </c>
      <c r="AA17" s="198">
        <v>0.7</v>
      </c>
      <c r="AB17" s="198" t="s">
        <v>265</v>
      </c>
      <c r="AC17" s="198">
        <v>36</v>
      </c>
      <c r="AD17" s="7"/>
      <c r="AE17" s="7"/>
      <c r="AF17" s="7"/>
      <c r="AG17" s="7"/>
      <c r="AH17" s="187">
        <v>15</v>
      </c>
      <c r="AI17" s="187">
        <v>4</v>
      </c>
      <c r="AJ17" s="187">
        <v>1.5</v>
      </c>
      <c r="AK17" s="187">
        <v>22</v>
      </c>
      <c r="AL17" s="187">
        <v>74</v>
      </c>
      <c r="AM17" s="187">
        <v>50</v>
      </c>
      <c r="AN17" s="7"/>
      <c r="AO17" s="7">
        <v>17</v>
      </c>
      <c r="AP17" s="7">
        <v>27</v>
      </c>
      <c r="AQ17" s="7"/>
      <c r="AR17" s="7"/>
      <c r="AS17" s="7"/>
      <c r="AT17" s="7"/>
      <c r="AU17" s="7"/>
      <c r="AV17" s="7"/>
      <c r="AW17" s="7"/>
      <c r="AX17" s="7"/>
      <c r="AY17" s="7"/>
      <c r="AZ17" s="7"/>
      <c r="BA17" s="7"/>
    </row>
    <row r="18" spans="1:53" ht="15.75" customHeight="1">
      <c r="A18" s="202" t="s">
        <v>209</v>
      </c>
      <c r="B18" s="7" t="s">
        <v>52</v>
      </c>
      <c r="C18" s="203">
        <v>54.3</v>
      </c>
      <c r="D18" s="203">
        <v>12.4</v>
      </c>
      <c r="E18" s="187">
        <v>74</v>
      </c>
      <c r="F18" s="187">
        <v>32</v>
      </c>
      <c r="G18" s="187">
        <v>1</v>
      </c>
      <c r="H18" s="187">
        <v>16.5</v>
      </c>
      <c r="I18" s="187">
        <v>70</v>
      </c>
      <c r="J18" s="187">
        <v>50</v>
      </c>
      <c r="K18" s="203">
        <v>5</v>
      </c>
      <c r="L18" s="203">
        <v>92</v>
      </c>
      <c r="M18" s="198">
        <v>0</v>
      </c>
      <c r="N18" s="203">
        <v>3</v>
      </c>
      <c r="O18" s="198">
        <v>5.0000000000000001E-3</v>
      </c>
      <c r="P18" s="198">
        <v>2E-3</v>
      </c>
      <c r="Q18" s="198">
        <v>0.1</v>
      </c>
      <c r="R18" s="198">
        <v>0.04</v>
      </c>
      <c r="S18" s="198">
        <v>0.02</v>
      </c>
      <c r="T18" s="198">
        <v>43</v>
      </c>
      <c r="U18" s="198">
        <v>10</v>
      </c>
      <c r="V18" s="198">
        <v>24</v>
      </c>
      <c r="W18" s="198">
        <v>15</v>
      </c>
      <c r="X18" s="198">
        <v>26</v>
      </c>
      <c r="Y18" s="198">
        <v>0</v>
      </c>
      <c r="Z18" s="198">
        <v>27</v>
      </c>
      <c r="AA18" s="198">
        <v>0.7</v>
      </c>
      <c r="AB18" s="198" t="s">
        <v>265</v>
      </c>
      <c r="AC18" s="203">
        <v>19</v>
      </c>
      <c r="AD18" s="7"/>
      <c r="AE18" s="7"/>
      <c r="AF18" s="7"/>
      <c r="AG18" s="7"/>
      <c r="AH18" s="187">
        <v>16</v>
      </c>
      <c r="AI18" s="187">
        <v>4</v>
      </c>
      <c r="AJ18" s="187">
        <v>1.5</v>
      </c>
      <c r="AK18" s="187">
        <v>23.5</v>
      </c>
      <c r="AL18" s="187">
        <v>75</v>
      </c>
      <c r="AM18" s="187">
        <v>50</v>
      </c>
      <c r="AN18" s="7"/>
      <c r="AO18" s="7">
        <v>18</v>
      </c>
      <c r="AP18" s="7">
        <v>29</v>
      </c>
      <c r="AQ18" s="7"/>
      <c r="AR18" s="7"/>
      <c r="AS18" s="7"/>
      <c r="AT18" s="7"/>
      <c r="AU18" s="7"/>
      <c r="AV18" s="7"/>
      <c r="AW18" s="7"/>
      <c r="AX18" s="7"/>
      <c r="AY18" s="7"/>
      <c r="AZ18" s="7"/>
      <c r="BA18" s="7"/>
    </row>
    <row r="19" spans="1:53" ht="15.75" customHeight="1">
      <c r="A19" s="200" t="s">
        <v>210</v>
      </c>
      <c r="B19" s="7" t="s">
        <v>53</v>
      </c>
      <c r="C19" s="198">
        <v>55.6</v>
      </c>
      <c r="D19" s="198">
        <v>13.1</v>
      </c>
      <c r="E19" s="187">
        <v>74</v>
      </c>
      <c r="F19" s="187">
        <v>32</v>
      </c>
      <c r="G19" s="187">
        <v>1</v>
      </c>
      <c r="H19" s="187">
        <v>18</v>
      </c>
      <c r="I19" s="187">
        <v>71</v>
      </c>
      <c r="J19" s="187">
        <v>50</v>
      </c>
      <c r="K19" s="198">
        <v>14</v>
      </c>
      <c r="L19" s="198">
        <v>24</v>
      </c>
      <c r="M19" s="198">
        <v>0</v>
      </c>
      <c r="N19" s="198">
        <v>61</v>
      </c>
      <c r="O19" s="198">
        <v>5.0000000000000001E-3</v>
      </c>
      <c r="P19" s="198">
        <v>2E-3</v>
      </c>
      <c r="Q19" s="198">
        <v>0.1</v>
      </c>
      <c r="R19" s="198">
        <v>0.04</v>
      </c>
      <c r="S19" s="198">
        <v>0.02</v>
      </c>
      <c r="T19" s="198">
        <v>43</v>
      </c>
      <c r="U19" s="198">
        <v>10</v>
      </c>
      <c r="V19" s="198">
        <v>24</v>
      </c>
      <c r="W19" s="198">
        <v>15</v>
      </c>
      <c r="X19" s="198">
        <v>26</v>
      </c>
      <c r="Y19" s="198">
        <v>0</v>
      </c>
      <c r="Z19" s="198">
        <v>27</v>
      </c>
      <c r="AA19" s="198">
        <v>0.7</v>
      </c>
      <c r="AB19" s="201" t="s">
        <v>267</v>
      </c>
      <c r="AC19" s="198">
        <v>15</v>
      </c>
      <c r="AD19" s="7"/>
      <c r="AE19" s="7"/>
      <c r="AF19" s="7"/>
      <c r="AG19" s="7"/>
      <c r="AH19" s="187">
        <v>17</v>
      </c>
      <c r="AI19" s="187">
        <v>4</v>
      </c>
      <c r="AJ19" s="187">
        <v>1.5</v>
      </c>
      <c r="AK19" s="187">
        <v>26</v>
      </c>
      <c r="AL19" s="187">
        <v>76</v>
      </c>
      <c r="AM19" s="187">
        <v>50</v>
      </c>
      <c r="AN19" s="7"/>
      <c r="AO19" s="7">
        <v>20</v>
      </c>
      <c r="AP19" s="7">
        <v>32</v>
      </c>
      <c r="AQ19" s="7"/>
      <c r="AR19" s="7"/>
      <c r="AS19" s="7"/>
      <c r="AT19" s="7"/>
      <c r="AU19" s="7"/>
      <c r="AV19" s="7"/>
      <c r="AW19" s="7"/>
      <c r="AX19" s="7"/>
      <c r="AY19" s="7"/>
      <c r="AZ19" s="7"/>
      <c r="BA19" s="7"/>
    </row>
    <row r="20" spans="1:53" ht="15.75" customHeight="1">
      <c r="A20" s="200" t="s">
        <v>211</v>
      </c>
      <c r="B20" s="7" t="s">
        <v>54</v>
      </c>
      <c r="C20" s="198">
        <v>66.400000000000006</v>
      </c>
      <c r="D20" s="198">
        <v>19.100000000000001</v>
      </c>
      <c r="E20" s="187">
        <v>78</v>
      </c>
      <c r="F20" s="187">
        <v>50</v>
      </c>
      <c r="G20" s="187">
        <v>1.5</v>
      </c>
      <c r="H20" s="187">
        <v>31.5</v>
      </c>
      <c r="I20" s="187">
        <v>77</v>
      </c>
      <c r="J20" s="187">
        <v>50</v>
      </c>
      <c r="K20" s="198">
        <v>14</v>
      </c>
      <c r="L20" s="198">
        <v>26</v>
      </c>
      <c r="M20" s="198">
        <v>0</v>
      </c>
      <c r="N20" s="198">
        <v>60</v>
      </c>
      <c r="O20" s="198">
        <v>5.0000000000000001E-3</v>
      </c>
      <c r="P20" s="198">
        <v>2E-3</v>
      </c>
      <c r="Q20" s="198">
        <v>0.1</v>
      </c>
      <c r="R20" s="198">
        <v>0.04</v>
      </c>
      <c r="S20" s="198">
        <v>0.02</v>
      </c>
      <c r="T20" s="198">
        <v>43</v>
      </c>
      <c r="U20" s="198">
        <v>10</v>
      </c>
      <c r="V20" s="198">
        <v>24</v>
      </c>
      <c r="W20" s="198">
        <v>15</v>
      </c>
      <c r="X20" s="198">
        <v>26</v>
      </c>
      <c r="Y20" s="198">
        <v>0</v>
      </c>
      <c r="Z20" s="198">
        <v>27</v>
      </c>
      <c r="AA20" s="198">
        <v>0.7</v>
      </c>
      <c r="AB20" s="201" t="s">
        <v>267</v>
      </c>
      <c r="AC20" s="198">
        <v>3</v>
      </c>
      <c r="AD20" s="7"/>
      <c r="AE20" s="7"/>
      <c r="AF20" s="7"/>
      <c r="AG20" s="7"/>
      <c r="AH20" s="187">
        <v>18</v>
      </c>
      <c r="AI20" s="187">
        <v>4</v>
      </c>
      <c r="AJ20" s="187">
        <v>1.5</v>
      </c>
      <c r="AK20" s="187">
        <v>28.5</v>
      </c>
      <c r="AL20" s="187">
        <v>77</v>
      </c>
      <c r="AM20" s="187">
        <v>50</v>
      </c>
      <c r="AN20" s="7"/>
      <c r="AO20" s="7">
        <v>22</v>
      </c>
      <c r="AP20" s="7">
        <v>35</v>
      </c>
      <c r="AQ20" s="7"/>
      <c r="AR20" s="7"/>
      <c r="AS20" s="7"/>
      <c r="AT20" s="7"/>
      <c r="AU20" s="7"/>
      <c r="AV20" s="7"/>
      <c r="AW20" s="7"/>
      <c r="AX20" s="7"/>
      <c r="AY20" s="7"/>
      <c r="AZ20" s="7"/>
      <c r="BA20" s="7"/>
    </row>
    <row r="21" spans="1:53" ht="15.75" customHeight="1">
      <c r="A21" s="202" t="s">
        <v>212</v>
      </c>
      <c r="B21" s="7" t="s">
        <v>57</v>
      </c>
      <c r="C21" s="203">
        <v>41</v>
      </c>
      <c r="D21" s="203">
        <v>5</v>
      </c>
      <c r="E21" s="187">
        <v>64</v>
      </c>
      <c r="F21" s="187">
        <v>21</v>
      </c>
      <c r="G21" s="187">
        <v>1</v>
      </c>
      <c r="H21" s="187">
        <v>13.5</v>
      </c>
      <c r="I21" s="187">
        <v>66</v>
      </c>
      <c r="J21" s="187">
        <v>50</v>
      </c>
      <c r="K21" s="203">
        <v>45</v>
      </c>
      <c r="L21" s="203">
        <v>48</v>
      </c>
      <c r="M21" s="198">
        <v>0</v>
      </c>
      <c r="N21" s="203">
        <v>7</v>
      </c>
      <c r="O21" s="198">
        <v>5.0000000000000001E-3</v>
      </c>
      <c r="P21" s="198">
        <v>2E-3</v>
      </c>
      <c r="Q21" s="198">
        <v>0.1</v>
      </c>
      <c r="R21" s="198">
        <v>0.04</v>
      </c>
      <c r="S21" s="198">
        <v>0.02</v>
      </c>
      <c r="T21" s="198">
        <v>43</v>
      </c>
      <c r="U21" s="198">
        <v>10</v>
      </c>
      <c r="V21" s="198">
        <v>24</v>
      </c>
      <c r="W21" s="198">
        <v>15</v>
      </c>
      <c r="X21" s="198">
        <v>26</v>
      </c>
      <c r="Y21" s="198">
        <v>0</v>
      </c>
      <c r="Z21" s="198">
        <v>27</v>
      </c>
      <c r="AA21" s="198">
        <v>0.7</v>
      </c>
      <c r="AB21" s="198" t="s">
        <v>266</v>
      </c>
      <c r="AC21" s="203">
        <v>48</v>
      </c>
      <c r="AD21" s="7"/>
      <c r="AE21" s="7"/>
      <c r="AF21" s="7"/>
      <c r="AG21" s="7"/>
      <c r="AH21" s="187">
        <v>19</v>
      </c>
      <c r="AI21" s="187">
        <v>4</v>
      </c>
      <c r="AJ21" s="187">
        <v>1.5</v>
      </c>
      <c r="AK21" s="187">
        <v>31.5</v>
      </c>
      <c r="AL21" s="187">
        <v>77</v>
      </c>
      <c r="AM21" s="187">
        <v>50</v>
      </c>
      <c r="AN21" s="7"/>
      <c r="AO21" s="7">
        <v>24</v>
      </c>
      <c r="AP21" s="7">
        <v>39</v>
      </c>
      <c r="AQ21" s="7"/>
      <c r="AR21" s="7"/>
      <c r="AS21" s="7"/>
      <c r="AT21" s="7"/>
      <c r="AU21" s="7"/>
      <c r="AV21" s="7"/>
      <c r="AW21" s="7"/>
      <c r="AX21" s="7"/>
      <c r="AY21" s="7"/>
      <c r="AZ21" s="7"/>
      <c r="BA21" s="7"/>
    </row>
    <row r="22" spans="1:53" ht="15.75" customHeight="1">
      <c r="A22" s="200" t="s">
        <v>213</v>
      </c>
      <c r="B22" s="7" t="s">
        <v>56</v>
      </c>
      <c r="C22" s="198">
        <v>54.2</v>
      </c>
      <c r="D22" s="198">
        <v>12.3</v>
      </c>
      <c r="E22" s="187">
        <v>74</v>
      </c>
      <c r="F22" s="187">
        <v>31</v>
      </c>
      <c r="G22" s="187">
        <v>1</v>
      </c>
      <c r="H22" s="187">
        <v>16.5</v>
      </c>
      <c r="I22" s="187">
        <v>70</v>
      </c>
      <c r="J22" s="187">
        <v>50</v>
      </c>
      <c r="K22" s="198">
        <v>44</v>
      </c>
      <c r="L22" s="198">
        <v>49</v>
      </c>
      <c r="M22" s="198">
        <v>0</v>
      </c>
      <c r="N22" s="198">
        <v>7</v>
      </c>
      <c r="O22" s="198">
        <v>5.0000000000000001E-3</v>
      </c>
      <c r="P22" s="198">
        <v>2E-3</v>
      </c>
      <c r="Q22" s="198">
        <v>0.1</v>
      </c>
      <c r="R22" s="198">
        <v>0.04</v>
      </c>
      <c r="S22" s="198">
        <v>0.02</v>
      </c>
      <c r="T22" s="198">
        <v>43</v>
      </c>
      <c r="U22" s="198">
        <v>10</v>
      </c>
      <c r="V22" s="198">
        <v>24</v>
      </c>
      <c r="W22" s="198">
        <v>15</v>
      </c>
      <c r="X22" s="198">
        <v>26</v>
      </c>
      <c r="Y22" s="198">
        <v>0</v>
      </c>
      <c r="Z22" s="198">
        <v>27</v>
      </c>
      <c r="AA22" s="198">
        <v>0.7</v>
      </c>
      <c r="AB22" s="198" t="s">
        <v>266</v>
      </c>
      <c r="AC22" s="198">
        <v>20</v>
      </c>
      <c r="AD22" s="7"/>
      <c r="AE22" s="7"/>
      <c r="AF22" s="7"/>
      <c r="AG22" s="7"/>
      <c r="AH22" s="187">
        <v>20</v>
      </c>
      <c r="AI22" s="187">
        <v>4</v>
      </c>
      <c r="AJ22" s="187">
        <v>1.5</v>
      </c>
      <c r="AK22" s="187">
        <v>34</v>
      </c>
      <c r="AL22" s="187">
        <v>78</v>
      </c>
      <c r="AM22" s="187">
        <v>50</v>
      </c>
      <c r="AN22" s="7"/>
      <c r="AO22" s="7">
        <v>26</v>
      </c>
      <c r="AP22" s="7">
        <v>42</v>
      </c>
      <c r="AQ22" s="7"/>
      <c r="AR22" s="7"/>
      <c r="AS22" s="7"/>
      <c r="AT22" s="7"/>
      <c r="AU22" s="7"/>
      <c r="AV22" s="7"/>
      <c r="AW22" s="7"/>
      <c r="AX22" s="7"/>
      <c r="AY22" s="7"/>
      <c r="AZ22" s="7"/>
      <c r="BA22" s="7"/>
    </row>
    <row r="23" spans="1:53" ht="15.75" customHeight="1">
      <c r="A23" s="202" t="s">
        <v>214</v>
      </c>
      <c r="B23" s="7" t="s">
        <v>55</v>
      </c>
      <c r="C23" s="203">
        <v>47.9</v>
      </c>
      <c r="D23" s="203">
        <v>8.8000000000000007</v>
      </c>
      <c r="E23" s="187">
        <v>69</v>
      </c>
      <c r="F23" s="187">
        <v>25</v>
      </c>
      <c r="G23" s="187">
        <v>1</v>
      </c>
      <c r="H23" s="187">
        <v>13.5</v>
      </c>
      <c r="I23" s="187">
        <v>66</v>
      </c>
      <c r="J23" s="187">
        <v>50</v>
      </c>
      <c r="K23" s="203">
        <v>45</v>
      </c>
      <c r="L23" s="203">
        <v>47</v>
      </c>
      <c r="M23" s="198">
        <v>0</v>
      </c>
      <c r="N23" s="203">
        <v>7</v>
      </c>
      <c r="O23" s="198">
        <v>5.0000000000000001E-3</v>
      </c>
      <c r="P23" s="198">
        <v>2E-3</v>
      </c>
      <c r="Q23" s="198">
        <v>0.1</v>
      </c>
      <c r="R23" s="198">
        <v>0.04</v>
      </c>
      <c r="S23" s="198">
        <v>0.02</v>
      </c>
      <c r="T23" s="198">
        <v>43</v>
      </c>
      <c r="U23" s="198">
        <v>10</v>
      </c>
      <c r="V23" s="198">
        <v>24</v>
      </c>
      <c r="W23" s="198">
        <v>15</v>
      </c>
      <c r="X23" s="198">
        <v>26</v>
      </c>
      <c r="Y23" s="198">
        <v>0</v>
      </c>
      <c r="Z23" s="198">
        <v>27</v>
      </c>
      <c r="AA23" s="198">
        <v>0.7</v>
      </c>
      <c r="AB23" s="198" t="s">
        <v>266</v>
      </c>
      <c r="AC23" s="203">
        <v>35</v>
      </c>
      <c r="AD23" s="7"/>
      <c r="AE23" s="7"/>
      <c r="AF23" s="7"/>
      <c r="AG23" s="7"/>
      <c r="AH23" s="187">
        <v>21</v>
      </c>
      <c r="AI23" s="187">
        <v>4</v>
      </c>
      <c r="AJ23" s="187">
        <v>1.5</v>
      </c>
      <c r="AK23" s="187">
        <v>37.5</v>
      </c>
      <c r="AL23" s="187">
        <v>78</v>
      </c>
      <c r="AM23" s="187">
        <v>50</v>
      </c>
      <c r="AN23" s="7"/>
      <c r="AO23" s="7">
        <v>29</v>
      </c>
      <c r="AP23" s="7">
        <v>46</v>
      </c>
      <c r="AQ23" s="7"/>
      <c r="AR23" s="7"/>
      <c r="AS23" s="7"/>
      <c r="AT23" s="7"/>
      <c r="AU23" s="7"/>
      <c r="AV23" s="7"/>
      <c r="AW23" s="7"/>
      <c r="AX23" s="7"/>
      <c r="AY23" s="7"/>
      <c r="AZ23" s="7"/>
      <c r="BA23" s="7"/>
    </row>
    <row r="24" spans="1:53" ht="15.75" customHeight="1">
      <c r="A24" s="200" t="s">
        <v>215</v>
      </c>
      <c r="B24" s="7" t="s">
        <v>58</v>
      </c>
      <c r="C24" s="198">
        <v>44.4</v>
      </c>
      <c r="D24" s="198">
        <v>6.9</v>
      </c>
      <c r="E24" s="187">
        <v>68</v>
      </c>
      <c r="F24" s="187">
        <v>24</v>
      </c>
      <c r="G24" s="187">
        <v>1</v>
      </c>
      <c r="H24" s="187">
        <v>13.5</v>
      </c>
      <c r="I24" s="187">
        <v>66</v>
      </c>
      <c r="J24" s="187">
        <v>50</v>
      </c>
      <c r="K24" s="198">
        <v>6</v>
      </c>
      <c r="L24" s="198">
        <v>91</v>
      </c>
      <c r="M24" s="198">
        <v>0</v>
      </c>
      <c r="N24" s="198">
        <v>3</v>
      </c>
      <c r="O24" s="198">
        <v>5.0000000000000001E-3</v>
      </c>
      <c r="P24" s="198">
        <v>2E-3</v>
      </c>
      <c r="Q24" s="198">
        <v>0.1</v>
      </c>
      <c r="R24" s="198">
        <v>0.04</v>
      </c>
      <c r="S24" s="198">
        <v>0.02</v>
      </c>
      <c r="T24" s="198">
        <v>43</v>
      </c>
      <c r="U24" s="198">
        <v>10</v>
      </c>
      <c r="V24" s="198">
        <v>24</v>
      </c>
      <c r="W24" s="198">
        <v>15</v>
      </c>
      <c r="X24" s="198">
        <v>26</v>
      </c>
      <c r="Y24" s="198">
        <v>0</v>
      </c>
      <c r="Z24" s="198">
        <v>27</v>
      </c>
      <c r="AA24" s="198">
        <v>0.7</v>
      </c>
      <c r="AB24" s="198" t="s">
        <v>265</v>
      </c>
      <c r="AC24" s="198">
        <v>40</v>
      </c>
      <c r="AD24" s="7"/>
      <c r="AE24" s="7"/>
      <c r="AF24" s="7"/>
      <c r="AG24" s="7"/>
      <c r="AH24" s="187">
        <v>22</v>
      </c>
      <c r="AI24" s="187">
        <v>4</v>
      </c>
      <c r="AJ24" s="187">
        <v>1.5</v>
      </c>
      <c r="AK24" s="187">
        <v>40.5</v>
      </c>
      <c r="AL24" s="187">
        <v>78</v>
      </c>
      <c r="AM24" s="187">
        <v>50</v>
      </c>
      <c r="AN24" s="7"/>
      <c r="AO24" s="7">
        <v>31</v>
      </c>
      <c r="AP24" s="7">
        <v>50</v>
      </c>
      <c r="AQ24" s="7"/>
      <c r="AR24" s="7"/>
      <c r="AS24" s="7"/>
      <c r="AT24" s="7"/>
      <c r="AU24" s="7"/>
      <c r="AV24" s="7"/>
      <c r="AW24" s="7"/>
      <c r="AX24" s="7"/>
      <c r="AY24" s="7"/>
      <c r="AZ24" s="7"/>
      <c r="BA24" s="7"/>
    </row>
    <row r="25" spans="1:53" ht="15.75" customHeight="1">
      <c r="A25" s="202" t="s">
        <v>216</v>
      </c>
      <c r="B25" s="7" t="s">
        <v>38</v>
      </c>
      <c r="C25" s="203">
        <v>41.2</v>
      </c>
      <c r="D25" s="203">
        <v>5.0999999999999996</v>
      </c>
      <c r="E25" s="187">
        <v>68</v>
      </c>
      <c r="F25" s="187">
        <v>24</v>
      </c>
      <c r="G25" s="187">
        <v>1</v>
      </c>
      <c r="H25" s="187">
        <v>13.5</v>
      </c>
      <c r="I25" s="187">
        <v>66</v>
      </c>
      <c r="J25" s="187">
        <v>50</v>
      </c>
      <c r="K25" s="203">
        <v>10</v>
      </c>
      <c r="L25" s="203">
        <v>84</v>
      </c>
      <c r="M25" s="198">
        <v>0</v>
      </c>
      <c r="N25" s="203">
        <v>6</v>
      </c>
      <c r="O25" s="198">
        <v>5.0000000000000001E-3</v>
      </c>
      <c r="P25" s="198">
        <v>2E-3</v>
      </c>
      <c r="Q25" s="198">
        <v>0.1</v>
      </c>
      <c r="R25" s="198">
        <v>0.04</v>
      </c>
      <c r="S25" s="198">
        <v>0.02</v>
      </c>
      <c r="T25" s="198">
        <v>43</v>
      </c>
      <c r="U25" s="198">
        <v>10</v>
      </c>
      <c r="V25" s="198">
        <v>24</v>
      </c>
      <c r="W25" s="198">
        <v>15</v>
      </c>
      <c r="X25" s="198">
        <v>26</v>
      </c>
      <c r="Y25" s="198">
        <v>0</v>
      </c>
      <c r="Z25" s="198">
        <v>27</v>
      </c>
      <c r="AA25" s="198">
        <v>0.7</v>
      </c>
      <c r="AB25" s="198" t="s">
        <v>265</v>
      </c>
      <c r="AC25" s="203">
        <v>47</v>
      </c>
      <c r="AD25" s="7"/>
      <c r="AE25" s="7"/>
      <c r="AF25" s="7"/>
      <c r="AG25" s="7"/>
      <c r="AH25" s="187">
        <v>23</v>
      </c>
      <c r="AI25" s="187">
        <v>4</v>
      </c>
      <c r="AJ25" s="187">
        <v>1.5</v>
      </c>
      <c r="AK25" s="187">
        <v>44.5</v>
      </c>
      <c r="AL25" s="187">
        <v>79</v>
      </c>
      <c r="AM25" s="187">
        <v>50</v>
      </c>
      <c r="AN25" s="7"/>
      <c r="AO25" s="7">
        <v>34</v>
      </c>
      <c r="AP25" s="7">
        <v>55</v>
      </c>
      <c r="AQ25" s="7"/>
      <c r="AR25" s="7"/>
      <c r="AS25" s="7"/>
      <c r="AT25" s="7"/>
      <c r="AU25" s="7"/>
      <c r="AV25" s="7"/>
      <c r="AW25" s="7"/>
      <c r="AX25" s="7"/>
      <c r="AY25" s="7"/>
      <c r="AZ25" s="7"/>
      <c r="BA25" s="7"/>
    </row>
    <row r="26" spans="1:53" ht="15.75" customHeight="1">
      <c r="A26" s="200" t="s">
        <v>217</v>
      </c>
      <c r="B26" s="7" t="s">
        <v>60</v>
      </c>
      <c r="C26" s="198">
        <v>63.4</v>
      </c>
      <c r="D26" s="198">
        <v>17.399999999999999</v>
      </c>
      <c r="E26" s="187">
        <v>77</v>
      </c>
      <c r="F26" s="187">
        <v>44</v>
      </c>
      <c r="G26" s="187">
        <v>1.5</v>
      </c>
      <c r="H26" s="187">
        <v>28.5</v>
      </c>
      <c r="I26" s="187">
        <v>77</v>
      </c>
      <c r="J26" s="187">
        <v>50</v>
      </c>
      <c r="K26" s="198">
        <v>15</v>
      </c>
      <c r="L26" s="198">
        <v>28</v>
      </c>
      <c r="M26" s="198">
        <v>0</v>
      </c>
      <c r="N26" s="198">
        <v>57</v>
      </c>
      <c r="O26" s="198">
        <v>5.0000000000000001E-3</v>
      </c>
      <c r="P26" s="198">
        <v>2E-3</v>
      </c>
      <c r="Q26" s="198">
        <v>0.1</v>
      </c>
      <c r="R26" s="198">
        <v>0.04</v>
      </c>
      <c r="S26" s="198">
        <v>0.02</v>
      </c>
      <c r="T26" s="198">
        <v>43</v>
      </c>
      <c r="U26" s="198">
        <v>10</v>
      </c>
      <c r="V26" s="198">
        <v>24</v>
      </c>
      <c r="W26" s="198">
        <v>15</v>
      </c>
      <c r="X26" s="198">
        <v>26</v>
      </c>
      <c r="Y26" s="198">
        <v>0</v>
      </c>
      <c r="Z26" s="198">
        <v>27</v>
      </c>
      <c r="AA26" s="198">
        <v>0.7</v>
      </c>
      <c r="AB26" s="201" t="s">
        <v>267</v>
      </c>
      <c r="AC26" s="198">
        <v>6</v>
      </c>
      <c r="AD26" s="7"/>
      <c r="AE26" s="7"/>
      <c r="AF26" s="7"/>
      <c r="AG26" s="7"/>
      <c r="AH26" s="187">
        <v>24</v>
      </c>
      <c r="AI26" s="187">
        <v>4</v>
      </c>
      <c r="AJ26" s="187">
        <v>1.5</v>
      </c>
      <c r="AK26" s="187">
        <v>48.5</v>
      </c>
      <c r="AL26" s="187">
        <v>79</v>
      </c>
      <c r="AM26" s="187">
        <v>50</v>
      </c>
      <c r="AN26" s="7"/>
      <c r="AO26" s="7">
        <v>37</v>
      </c>
      <c r="AP26" s="7">
        <v>60</v>
      </c>
      <c r="AQ26" s="7"/>
      <c r="AR26" s="7"/>
      <c r="AS26" s="7"/>
      <c r="AT26" s="7"/>
      <c r="AU26" s="7"/>
      <c r="AV26" s="7"/>
      <c r="AW26" s="7"/>
      <c r="AX26" s="7"/>
      <c r="AY26" s="7"/>
      <c r="AZ26" s="7"/>
      <c r="BA26" s="7"/>
    </row>
    <row r="27" spans="1:53" ht="15.75" customHeight="1">
      <c r="A27" s="202" t="s">
        <v>218</v>
      </c>
      <c r="B27" s="7" t="s">
        <v>59</v>
      </c>
      <c r="C27" s="203">
        <v>54.5</v>
      </c>
      <c r="D27" s="203">
        <v>12.5</v>
      </c>
      <c r="E27" s="187">
        <v>74</v>
      </c>
      <c r="F27" s="187">
        <v>32</v>
      </c>
      <c r="G27" s="187">
        <v>1</v>
      </c>
      <c r="H27" s="187">
        <v>18</v>
      </c>
      <c r="I27" s="187">
        <v>71</v>
      </c>
      <c r="J27" s="187">
        <v>50</v>
      </c>
      <c r="K27" s="203">
        <v>14</v>
      </c>
      <c r="L27" s="203">
        <v>77</v>
      </c>
      <c r="M27" s="198">
        <v>0</v>
      </c>
      <c r="N27" s="203">
        <v>8</v>
      </c>
      <c r="O27" s="198">
        <v>5.0000000000000001E-3</v>
      </c>
      <c r="P27" s="198">
        <v>2E-3</v>
      </c>
      <c r="Q27" s="198">
        <v>0.1</v>
      </c>
      <c r="R27" s="198">
        <v>0.04</v>
      </c>
      <c r="S27" s="198">
        <v>0.02</v>
      </c>
      <c r="T27" s="198">
        <v>43</v>
      </c>
      <c r="U27" s="198">
        <v>10</v>
      </c>
      <c r="V27" s="198">
        <v>24</v>
      </c>
      <c r="W27" s="198">
        <v>15</v>
      </c>
      <c r="X27" s="198">
        <v>26</v>
      </c>
      <c r="Y27" s="198">
        <v>0</v>
      </c>
      <c r="Z27" s="198">
        <v>27</v>
      </c>
      <c r="AA27" s="198">
        <v>0.7</v>
      </c>
      <c r="AB27" s="198" t="s">
        <v>265</v>
      </c>
      <c r="AC27" s="203">
        <v>18</v>
      </c>
      <c r="AD27" s="7"/>
      <c r="AE27" s="7"/>
      <c r="AF27" s="7"/>
      <c r="AG27" s="7"/>
      <c r="AH27" s="187">
        <v>25</v>
      </c>
      <c r="AI27" s="187">
        <v>4</v>
      </c>
      <c r="AJ27" s="187">
        <v>1.5</v>
      </c>
      <c r="AK27" s="187">
        <v>53</v>
      </c>
      <c r="AL27" s="187">
        <v>79</v>
      </c>
      <c r="AM27" s="187">
        <v>50</v>
      </c>
      <c r="AN27" s="7"/>
      <c r="AO27" s="7">
        <v>41</v>
      </c>
      <c r="AP27" s="7">
        <v>65</v>
      </c>
      <c r="AQ27" s="7"/>
      <c r="AR27" s="7"/>
      <c r="AS27" s="7"/>
      <c r="AT27" s="7"/>
      <c r="AU27" s="7"/>
      <c r="AV27" s="7"/>
      <c r="AW27" s="7"/>
      <c r="AX27" s="7"/>
      <c r="AY27" s="7"/>
      <c r="AZ27" s="7"/>
      <c r="BA27" s="7"/>
    </row>
    <row r="28" spans="1:53" ht="15.75" customHeight="1">
      <c r="A28" s="200" t="s">
        <v>219</v>
      </c>
      <c r="B28" s="7" t="s">
        <v>61</v>
      </c>
      <c r="C28" s="198">
        <v>42.7</v>
      </c>
      <c r="D28" s="198">
        <v>5.9</v>
      </c>
      <c r="E28" s="187">
        <v>60</v>
      </c>
      <c r="F28" s="187">
        <v>19</v>
      </c>
      <c r="G28" s="187">
        <v>1</v>
      </c>
      <c r="H28" s="187">
        <v>13.5</v>
      </c>
      <c r="I28" s="187">
        <v>66</v>
      </c>
      <c r="J28" s="187">
        <v>50</v>
      </c>
      <c r="K28" s="198">
        <v>4</v>
      </c>
      <c r="L28" s="198">
        <v>93</v>
      </c>
      <c r="M28" s="198">
        <v>0</v>
      </c>
      <c r="N28" s="198">
        <v>3</v>
      </c>
      <c r="O28" s="198">
        <v>5.0000000000000001E-3</v>
      </c>
      <c r="P28" s="198">
        <v>2E-3</v>
      </c>
      <c r="Q28" s="198">
        <v>0.1</v>
      </c>
      <c r="R28" s="198">
        <v>0.04</v>
      </c>
      <c r="S28" s="198">
        <v>0.02</v>
      </c>
      <c r="T28" s="198">
        <v>43</v>
      </c>
      <c r="U28" s="198">
        <v>10</v>
      </c>
      <c r="V28" s="198">
        <v>24</v>
      </c>
      <c r="W28" s="198">
        <v>15</v>
      </c>
      <c r="X28" s="198">
        <v>26</v>
      </c>
      <c r="Y28" s="198">
        <v>0</v>
      </c>
      <c r="Z28" s="198">
        <v>27</v>
      </c>
      <c r="AA28" s="198">
        <v>0.7</v>
      </c>
      <c r="AB28" s="198" t="s">
        <v>264</v>
      </c>
      <c r="AC28" s="198">
        <v>45</v>
      </c>
      <c r="AD28" s="7"/>
      <c r="AE28" s="7"/>
      <c r="AF28" s="7"/>
      <c r="AG28" s="7"/>
      <c r="AH28" s="187">
        <v>26</v>
      </c>
      <c r="AI28" s="187">
        <v>5</v>
      </c>
      <c r="AJ28" s="187">
        <v>2</v>
      </c>
      <c r="AK28" s="187">
        <v>57.5</v>
      </c>
      <c r="AL28" s="187">
        <v>79</v>
      </c>
      <c r="AM28" s="187">
        <v>50</v>
      </c>
      <c r="AN28" s="7"/>
      <c r="AO28" s="7">
        <v>44</v>
      </c>
      <c r="AP28" s="7">
        <v>71</v>
      </c>
      <c r="AQ28" s="7"/>
      <c r="AR28" s="7"/>
      <c r="AS28" s="7"/>
      <c r="AT28" s="7"/>
      <c r="AU28" s="7"/>
      <c r="AV28" s="7"/>
      <c r="AW28" s="7"/>
      <c r="AX28" s="7"/>
      <c r="AY28" s="7"/>
      <c r="AZ28" s="7"/>
      <c r="BA28" s="7"/>
    </row>
    <row r="29" spans="1:53" ht="15.75" customHeight="1">
      <c r="A29" s="202" t="s">
        <v>220</v>
      </c>
      <c r="B29" s="7" t="s">
        <v>64</v>
      </c>
      <c r="C29" s="203">
        <v>48.8</v>
      </c>
      <c r="D29" s="203">
        <v>9.3000000000000007</v>
      </c>
      <c r="E29" s="187">
        <v>72</v>
      </c>
      <c r="F29" s="187">
        <v>28</v>
      </c>
      <c r="G29" s="187">
        <v>1</v>
      </c>
      <c r="H29" s="187">
        <v>13.5</v>
      </c>
      <c r="I29" s="187">
        <v>66</v>
      </c>
      <c r="J29" s="187">
        <v>50</v>
      </c>
      <c r="K29" s="203">
        <v>6</v>
      </c>
      <c r="L29" s="203">
        <v>90</v>
      </c>
      <c r="M29" s="198">
        <v>0</v>
      </c>
      <c r="N29" s="203">
        <v>4</v>
      </c>
      <c r="O29" s="198">
        <v>5.0000000000000001E-3</v>
      </c>
      <c r="P29" s="198">
        <v>2E-3</v>
      </c>
      <c r="Q29" s="198">
        <v>0.1</v>
      </c>
      <c r="R29" s="198">
        <v>0.04</v>
      </c>
      <c r="S29" s="198">
        <v>0.02</v>
      </c>
      <c r="T29" s="198">
        <v>43</v>
      </c>
      <c r="U29" s="198">
        <v>10</v>
      </c>
      <c r="V29" s="198">
        <v>24</v>
      </c>
      <c r="W29" s="198">
        <v>15</v>
      </c>
      <c r="X29" s="198">
        <v>26</v>
      </c>
      <c r="Y29" s="198">
        <v>0</v>
      </c>
      <c r="Z29" s="198">
        <v>27</v>
      </c>
      <c r="AA29" s="198">
        <v>0.7</v>
      </c>
      <c r="AB29" s="198" t="s">
        <v>265</v>
      </c>
      <c r="AC29" s="203">
        <v>30</v>
      </c>
      <c r="AD29" s="7"/>
      <c r="AE29" s="7"/>
      <c r="AF29" s="7"/>
      <c r="AG29" s="7"/>
      <c r="AH29" s="187">
        <v>27</v>
      </c>
      <c r="AI29" s="187">
        <v>5</v>
      </c>
      <c r="AJ29" s="187">
        <v>2</v>
      </c>
      <c r="AK29" s="187">
        <v>63</v>
      </c>
      <c r="AL29" s="187">
        <v>80</v>
      </c>
      <c r="AM29" s="187">
        <v>50</v>
      </c>
      <c r="AN29" s="7"/>
      <c r="AO29" s="7">
        <v>48</v>
      </c>
      <c r="AP29" s="7">
        <v>78</v>
      </c>
      <c r="AQ29" s="7"/>
      <c r="AR29" s="7"/>
      <c r="AS29" s="7"/>
      <c r="AT29" s="7"/>
      <c r="AU29" s="7"/>
      <c r="AV29" s="7"/>
      <c r="AW29" s="7"/>
      <c r="AX29" s="7"/>
      <c r="AY29" s="7"/>
      <c r="AZ29" s="7"/>
      <c r="BA29" s="7"/>
    </row>
    <row r="30" spans="1:53" ht="15.75" customHeight="1">
      <c r="A30" s="200" t="s">
        <v>221</v>
      </c>
      <c r="B30" s="7" t="s">
        <v>68</v>
      </c>
      <c r="C30" s="198">
        <v>49.9</v>
      </c>
      <c r="D30" s="198">
        <v>9.9</v>
      </c>
      <c r="E30" s="187">
        <v>72</v>
      </c>
      <c r="F30" s="187">
        <v>27</v>
      </c>
      <c r="G30" s="187">
        <v>1</v>
      </c>
      <c r="H30" s="187">
        <v>13.5</v>
      </c>
      <c r="I30" s="187">
        <v>66</v>
      </c>
      <c r="J30" s="187">
        <v>50</v>
      </c>
      <c r="K30" s="198">
        <v>0</v>
      </c>
      <c r="L30" s="198">
        <v>99</v>
      </c>
      <c r="M30" s="198">
        <v>0</v>
      </c>
      <c r="N30" s="198">
        <v>0</v>
      </c>
      <c r="O30" s="198">
        <v>5.0000000000000001E-3</v>
      </c>
      <c r="P30" s="198">
        <v>2E-3</v>
      </c>
      <c r="Q30" s="198">
        <v>0.1</v>
      </c>
      <c r="R30" s="198">
        <v>0.04</v>
      </c>
      <c r="S30" s="198">
        <v>0.02</v>
      </c>
      <c r="T30" s="198">
        <v>43</v>
      </c>
      <c r="U30" s="198">
        <v>10</v>
      </c>
      <c r="V30" s="198">
        <v>24</v>
      </c>
      <c r="W30" s="198">
        <v>15</v>
      </c>
      <c r="X30" s="198">
        <v>26</v>
      </c>
      <c r="Y30" s="198">
        <v>0</v>
      </c>
      <c r="Z30" s="198">
        <v>27</v>
      </c>
      <c r="AA30" s="198">
        <v>0.7</v>
      </c>
      <c r="AB30" s="198" t="s">
        <v>264</v>
      </c>
      <c r="AC30" s="198">
        <v>28</v>
      </c>
      <c r="AD30" s="7"/>
      <c r="AE30" s="7"/>
      <c r="AF30" s="7"/>
      <c r="AG30" s="7"/>
      <c r="AH30" s="187">
        <v>28</v>
      </c>
      <c r="AI30" s="187">
        <v>5</v>
      </c>
      <c r="AJ30" s="187">
        <v>2</v>
      </c>
      <c r="AK30" s="187">
        <v>65</v>
      </c>
      <c r="AL30" s="187">
        <v>80</v>
      </c>
      <c r="AM30" s="187">
        <v>50</v>
      </c>
      <c r="AN30" s="7"/>
      <c r="AO30" s="7">
        <v>50</v>
      </c>
      <c r="AP30" s="7">
        <v>80</v>
      </c>
      <c r="AQ30" s="7"/>
      <c r="AR30" s="7"/>
      <c r="AS30" s="7"/>
      <c r="AT30" s="7"/>
      <c r="AU30" s="7"/>
      <c r="AV30" s="7"/>
      <c r="AW30" s="7"/>
      <c r="AX30" s="7"/>
      <c r="AY30" s="7"/>
      <c r="AZ30" s="7"/>
      <c r="BA30" s="7"/>
    </row>
    <row r="31" spans="1:53" ht="15.75" customHeight="1">
      <c r="A31" s="202" t="s">
        <v>222</v>
      </c>
      <c r="B31" s="7" t="s">
        <v>65</v>
      </c>
      <c r="C31" s="203">
        <v>43.8</v>
      </c>
      <c r="D31" s="203">
        <v>6.6</v>
      </c>
      <c r="E31" s="187">
        <v>65</v>
      </c>
      <c r="F31" s="187">
        <v>22</v>
      </c>
      <c r="G31" s="187">
        <v>1</v>
      </c>
      <c r="H31" s="187">
        <v>13.5</v>
      </c>
      <c r="I31" s="187">
        <v>66</v>
      </c>
      <c r="J31" s="187">
        <v>50</v>
      </c>
      <c r="K31" s="203">
        <v>44</v>
      </c>
      <c r="L31" s="203">
        <v>49</v>
      </c>
      <c r="M31" s="198">
        <v>0</v>
      </c>
      <c r="N31" s="203">
        <v>7</v>
      </c>
      <c r="O31" s="198">
        <v>5.0000000000000001E-3</v>
      </c>
      <c r="P31" s="198">
        <v>2E-3</v>
      </c>
      <c r="Q31" s="198">
        <v>0.1</v>
      </c>
      <c r="R31" s="198">
        <v>0.04</v>
      </c>
      <c r="S31" s="198">
        <v>0.02</v>
      </c>
      <c r="T31" s="198">
        <v>43</v>
      </c>
      <c r="U31" s="198">
        <v>10</v>
      </c>
      <c r="V31" s="198">
        <v>24</v>
      </c>
      <c r="W31" s="198">
        <v>15</v>
      </c>
      <c r="X31" s="198">
        <v>26</v>
      </c>
      <c r="Y31" s="198">
        <v>0</v>
      </c>
      <c r="Z31" s="198">
        <v>27</v>
      </c>
      <c r="AA31" s="198">
        <v>0.7</v>
      </c>
      <c r="AB31" s="198" t="s">
        <v>266</v>
      </c>
      <c r="AC31" s="203">
        <v>42</v>
      </c>
      <c r="AD31" s="7"/>
      <c r="AE31" s="7"/>
      <c r="AF31" s="7"/>
      <c r="AG31" s="7"/>
      <c r="AH31" s="7"/>
      <c r="AI31" s="7"/>
      <c r="AJ31" s="7"/>
      <c r="AK31" s="7"/>
      <c r="AL31" s="7"/>
      <c r="AM31" s="7" t="s">
        <v>369</v>
      </c>
      <c r="AN31" s="7"/>
      <c r="AO31" s="7"/>
      <c r="AP31" s="7"/>
      <c r="AQ31" s="7"/>
      <c r="AR31" s="7"/>
      <c r="AS31" s="7"/>
      <c r="AT31" s="7"/>
      <c r="AU31" s="7"/>
      <c r="AV31" s="7"/>
      <c r="AW31" s="7"/>
      <c r="AX31" s="7"/>
      <c r="AY31" s="7"/>
      <c r="AZ31" s="7"/>
      <c r="BA31" s="7"/>
    </row>
    <row r="32" spans="1:53" ht="15.75" customHeight="1">
      <c r="A32" s="200" t="s">
        <v>223</v>
      </c>
      <c r="B32" s="7" t="s">
        <v>66</v>
      </c>
      <c r="C32" s="198">
        <v>52.7</v>
      </c>
      <c r="D32" s="198">
        <v>11.5</v>
      </c>
      <c r="E32" s="187">
        <v>73</v>
      </c>
      <c r="F32" s="187">
        <v>30</v>
      </c>
      <c r="G32" s="187">
        <v>1</v>
      </c>
      <c r="H32" s="187">
        <v>15</v>
      </c>
      <c r="I32" s="187">
        <v>68</v>
      </c>
      <c r="J32" s="187">
        <v>50</v>
      </c>
      <c r="K32" s="198">
        <v>45</v>
      </c>
      <c r="L32" s="198">
        <v>47</v>
      </c>
      <c r="M32" s="198">
        <v>0</v>
      </c>
      <c r="N32" s="198">
        <v>8</v>
      </c>
      <c r="O32" s="198">
        <v>5.0000000000000001E-3</v>
      </c>
      <c r="P32" s="198">
        <v>2E-3</v>
      </c>
      <c r="Q32" s="198">
        <v>0.1</v>
      </c>
      <c r="R32" s="198">
        <v>0.04</v>
      </c>
      <c r="S32" s="198">
        <v>0.02</v>
      </c>
      <c r="T32" s="198">
        <v>43</v>
      </c>
      <c r="U32" s="198">
        <v>10</v>
      </c>
      <c r="V32" s="198">
        <v>24</v>
      </c>
      <c r="W32" s="198">
        <v>15</v>
      </c>
      <c r="X32" s="198">
        <v>26</v>
      </c>
      <c r="Y32" s="198">
        <v>0</v>
      </c>
      <c r="Z32" s="198">
        <v>27</v>
      </c>
      <c r="AA32" s="198">
        <v>0.7</v>
      </c>
      <c r="AB32" s="198" t="s">
        <v>266</v>
      </c>
      <c r="AC32" s="198">
        <v>22</v>
      </c>
      <c r="AD32" s="7"/>
      <c r="AE32" s="7"/>
      <c r="AF32" s="7"/>
      <c r="AG32" s="7"/>
      <c r="AH32" s="7"/>
      <c r="AI32" s="7"/>
      <c r="AJ32" s="7"/>
      <c r="AK32" s="7"/>
      <c r="AL32" s="7"/>
      <c r="AM32" s="7"/>
      <c r="AN32" s="7"/>
      <c r="AO32" s="7"/>
      <c r="AP32" s="7"/>
      <c r="AQ32" s="7"/>
      <c r="AR32" s="7"/>
      <c r="AS32" s="7"/>
      <c r="AT32" s="7"/>
      <c r="AU32" s="7"/>
      <c r="AV32" s="7"/>
      <c r="AW32" s="7"/>
      <c r="AX32" s="7"/>
      <c r="AY32" s="7"/>
      <c r="AZ32" s="7"/>
      <c r="BA32" s="7"/>
    </row>
    <row r="33" spans="1:53" ht="15.75" customHeight="1">
      <c r="A33" s="202" t="s">
        <v>261</v>
      </c>
      <c r="B33" s="7" t="s">
        <v>67</v>
      </c>
      <c r="C33" s="203">
        <v>53.4</v>
      </c>
      <c r="D33" s="203">
        <v>11.9</v>
      </c>
      <c r="E33" s="187">
        <v>75</v>
      </c>
      <c r="F33" s="187">
        <v>34</v>
      </c>
      <c r="G33" s="187">
        <v>1</v>
      </c>
      <c r="H33" s="187">
        <v>16.5</v>
      </c>
      <c r="I33" s="187">
        <v>70</v>
      </c>
      <c r="J33" s="187">
        <v>50</v>
      </c>
      <c r="K33" s="203">
        <v>10</v>
      </c>
      <c r="L33" s="203">
        <v>90</v>
      </c>
      <c r="M33" s="198">
        <v>0</v>
      </c>
      <c r="N33" s="203">
        <v>0</v>
      </c>
      <c r="O33" s="198">
        <v>5.0000000000000001E-3</v>
      </c>
      <c r="P33" s="198">
        <v>2E-3</v>
      </c>
      <c r="Q33" s="198">
        <v>0.1</v>
      </c>
      <c r="R33" s="198">
        <v>0.04</v>
      </c>
      <c r="S33" s="198">
        <v>0.02</v>
      </c>
      <c r="T33" s="198">
        <v>43</v>
      </c>
      <c r="U33" s="198">
        <v>10</v>
      </c>
      <c r="V33" s="198">
        <v>24</v>
      </c>
      <c r="W33" s="198">
        <v>15</v>
      </c>
      <c r="X33" s="198">
        <v>26</v>
      </c>
      <c r="Y33" s="198">
        <v>0</v>
      </c>
      <c r="Z33" s="198">
        <v>27</v>
      </c>
      <c r="AA33" s="198">
        <v>0.7</v>
      </c>
      <c r="AB33" s="198" t="s">
        <v>264</v>
      </c>
      <c r="AC33" s="203">
        <v>21</v>
      </c>
      <c r="AD33" s="7"/>
      <c r="AE33" s="7"/>
      <c r="AF33" s="7"/>
      <c r="AG33" s="7"/>
      <c r="AH33" s="7"/>
      <c r="AI33" s="7"/>
      <c r="AJ33" s="7"/>
      <c r="AK33" s="7"/>
      <c r="AL33" s="7"/>
      <c r="AM33" s="7"/>
      <c r="AN33" s="7"/>
      <c r="AO33" s="7"/>
      <c r="AP33" s="7"/>
      <c r="AQ33" s="7"/>
      <c r="AR33" s="7"/>
      <c r="AS33" s="7"/>
      <c r="AT33" s="7"/>
      <c r="AU33" s="7"/>
      <c r="AV33" s="7"/>
      <c r="AW33" s="7"/>
      <c r="AX33" s="7"/>
      <c r="AY33" s="7"/>
      <c r="AZ33" s="7"/>
      <c r="BA33" s="7"/>
    </row>
    <row r="34" spans="1:53" ht="15.75" customHeight="1">
      <c r="A34" s="200" t="s">
        <v>225</v>
      </c>
      <c r="B34" s="7" t="s">
        <v>39</v>
      </c>
      <c r="C34" s="198">
        <v>45.4</v>
      </c>
      <c r="D34" s="198">
        <v>7.4</v>
      </c>
      <c r="E34" s="187">
        <v>67</v>
      </c>
      <c r="F34" s="187">
        <v>23</v>
      </c>
      <c r="G34" s="187">
        <v>1</v>
      </c>
      <c r="H34" s="187">
        <v>13.5</v>
      </c>
      <c r="I34" s="187">
        <v>66</v>
      </c>
      <c r="J34" s="187">
        <v>50</v>
      </c>
      <c r="K34" s="198">
        <v>45</v>
      </c>
      <c r="L34" s="198">
        <v>48</v>
      </c>
      <c r="M34" s="198">
        <v>0</v>
      </c>
      <c r="N34" s="198">
        <v>7</v>
      </c>
      <c r="O34" s="198">
        <v>5.0000000000000001E-3</v>
      </c>
      <c r="P34" s="198">
        <v>2E-3</v>
      </c>
      <c r="Q34" s="198">
        <v>0.1</v>
      </c>
      <c r="R34" s="198">
        <v>0.04</v>
      </c>
      <c r="S34" s="198">
        <v>0.02</v>
      </c>
      <c r="T34" s="198">
        <v>43</v>
      </c>
      <c r="U34" s="198">
        <v>10</v>
      </c>
      <c r="V34" s="198">
        <v>24</v>
      </c>
      <c r="W34" s="198">
        <v>15</v>
      </c>
      <c r="X34" s="198">
        <v>26</v>
      </c>
      <c r="Y34" s="198">
        <v>0</v>
      </c>
      <c r="Z34" s="198">
        <v>27</v>
      </c>
      <c r="AA34" s="198">
        <v>0.7</v>
      </c>
      <c r="AB34" s="198" t="s">
        <v>266</v>
      </c>
      <c r="AC34" s="198">
        <v>37</v>
      </c>
      <c r="AD34" s="7"/>
      <c r="AE34" s="7"/>
      <c r="AF34" s="7"/>
      <c r="AG34" s="7"/>
      <c r="AH34" s="7"/>
      <c r="AI34" s="7"/>
      <c r="AJ34" s="7"/>
      <c r="AK34" s="7"/>
      <c r="AL34" s="7"/>
      <c r="AM34" s="7"/>
      <c r="AN34" s="7"/>
      <c r="AO34" s="7"/>
      <c r="AP34" s="7"/>
      <c r="AQ34" s="7"/>
      <c r="AR34" s="7"/>
      <c r="AS34" s="7"/>
      <c r="AT34" s="7"/>
      <c r="AU34" s="7"/>
      <c r="AV34" s="7"/>
      <c r="AW34" s="7"/>
      <c r="AX34" s="7"/>
      <c r="AY34" s="7"/>
      <c r="AZ34" s="7"/>
      <c r="BA34" s="7"/>
    </row>
    <row r="35" spans="1:53" ht="15.75" customHeight="1">
      <c r="A35" s="202" t="s">
        <v>226</v>
      </c>
      <c r="B35" s="7" t="s">
        <v>62</v>
      </c>
      <c r="C35" s="203">
        <v>59</v>
      </c>
      <c r="D35" s="203">
        <v>15</v>
      </c>
      <c r="E35" s="187">
        <v>74</v>
      </c>
      <c r="F35" s="187">
        <v>34</v>
      </c>
      <c r="G35" s="187">
        <v>1.5</v>
      </c>
      <c r="H35" s="187">
        <v>22</v>
      </c>
      <c r="I35" s="187">
        <v>74</v>
      </c>
      <c r="J35" s="187">
        <v>50</v>
      </c>
      <c r="K35" s="203">
        <v>15</v>
      </c>
      <c r="L35" s="203">
        <v>31</v>
      </c>
      <c r="M35" s="198">
        <v>0</v>
      </c>
      <c r="N35" s="203">
        <v>54</v>
      </c>
      <c r="O35" s="198">
        <v>5.0000000000000001E-3</v>
      </c>
      <c r="P35" s="198">
        <v>2E-3</v>
      </c>
      <c r="Q35" s="198">
        <v>0.1</v>
      </c>
      <c r="R35" s="198">
        <v>0.04</v>
      </c>
      <c r="S35" s="198">
        <v>0.02</v>
      </c>
      <c r="T35" s="198">
        <v>43</v>
      </c>
      <c r="U35" s="198">
        <v>10</v>
      </c>
      <c r="V35" s="198">
        <v>24</v>
      </c>
      <c r="W35" s="198">
        <v>15</v>
      </c>
      <c r="X35" s="198">
        <v>26</v>
      </c>
      <c r="Y35" s="198">
        <v>0</v>
      </c>
      <c r="Z35" s="198">
        <v>27</v>
      </c>
      <c r="AA35" s="198">
        <v>0.7</v>
      </c>
      <c r="AB35" s="201" t="s">
        <v>267</v>
      </c>
      <c r="AC35" s="203">
        <v>13</v>
      </c>
      <c r="AD35" s="7"/>
      <c r="AE35" s="7"/>
      <c r="AF35" s="7"/>
      <c r="AG35" s="7"/>
      <c r="AH35" s="7"/>
      <c r="AI35" s="7"/>
      <c r="AJ35" s="7"/>
      <c r="AK35" s="7"/>
      <c r="AL35" s="7"/>
      <c r="AM35" s="7"/>
      <c r="AN35" s="7"/>
      <c r="AO35" s="7"/>
      <c r="AP35" s="7"/>
      <c r="AQ35" s="7"/>
      <c r="AR35" s="7"/>
      <c r="AS35" s="7"/>
      <c r="AT35" s="7"/>
      <c r="AU35" s="7"/>
      <c r="AV35" s="7"/>
      <c r="AW35" s="7"/>
      <c r="AX35" s="7"/>
      <c r="AY35" s="7"/>
      <c r="AZ35" s="7"/>
      <c r="BA35" s="7"/>
    </row>
    <row r="36" spans="1:53" ht="15.75" customHeight="1">
      <c r="A36" s="200" t="s">
        <v>227</v>
      </c>
      <c r="B36" s="7" t="s">
        <v>63</v>
      </c>
      <c r="C36" s="198">
        <v>40.4</v>
      </c>
      <c r="D36" s="198">
        <v>4.7</v>
      </c>
      <c r="E36" s="187">
        <v>66</v>
      </c>
      <c r="F36" s="187">
        <v>23</v>
      </c>
      <c r="G36" s="187">
        <v>1</v>
      </c>
      <c r="H36" s="187">
        <v>13.5</v>
      </c>
      <c r="I36" s="187">
        <v>66</v>
      </c>
      <c r="J36" s="187">
        <v>50</v>
      </c>
      <c r="K36" s="198">
        <v>11</v>
      </c>
      <c r="L36" s="198">
        <v>83</v>
      </c>
      <c r="M36" s="198">
        <v>0</v>
      </c>
      <c r="N36" s="198">
        <v>6</v>
      </c>
      <c r="O36" s="198">
        <v>5.0000000000000001E-3</v>
      </c>
      <c r="P36" s="198">
        <v>2E-3</v>
      </c>
      <c r="Q36" s="198">
        <v>0.1</v>
      </c>
      <c r="R36" s="198">
        <v>0.04</v>
      </c>
      <c r="S36" s="198">
        <v>0.02</v>
      </c>
      <c r="T36" s="198">
        <v>43</v>
      </c>
      <c r="U36" s="198">
        <v>10</v>
      </c>
      <c r="V36" s="198">
        <v>24</v>
      </c>
      <c r="W36" s="198">
        <v>15</v>
      </c>
      <c r="X36" s="198">
        <v>26</v>
      </c>
      <c r="Y36" s="198">
        <v>0</v>
      </c>
      <c r="Z36" s="198">
        <v>27</v>
      </c>
      <c r="AA36" s="198">
        <v>0.7</v>
      </c>
      <c r="AB36" s="198" t="s">
        <v>265</v>
      </c>
      <c r="AC36" s="198">
        <v>49</v>
      </c>
      <c r="AD36" s="7"/>
      <c r="AE36" s="7"/>
      <c r="AF36" s="7"/>
      <c r="AG36" s="7"/>
      <c r="AH36" s="7"/>
      <c r="AI36" s="7"/>
      <c r="AJ36" s="7"/>
      <c r="AK36" s="7"/>
      <c r="AL36" s="7"/>
      <c r="AM36" s="7"/>
      <c r="AN36" s="7"/>
      <c r="AO36" s="7"/>
      <c r="AP36" s="7"/>
      <c r="AQ36" s="7"/>
      <c r="AR36" s="7"/>
      <c r="AS36" s="7"/>
      <c r="AT36" s="7"/>
      <c r="AU36" s="7"/>
      <c r="AV36" s="7"/>
      <c r="AW36" s="7"/>
      <c r="AX36" s="7"/>
      <c r="AY36" s="7"/>
      <c r="AZ36" s="7"/>
      <c r="BA36" s="7"/>
    </row>
    <row r="37" spans="1:53" ht="15.75" customHeight="1">
      <c r="A37" s="200" t="s">
        <v>228</v>
      </c>
      <c r="B37" s="7" t="s">
        <v>69</v>
      </c>
      <c r="C37" s="198">
        <v>50.7</v>
      </c>
      <c r="D37" s="198">
        <v>10.4</v>
      </c>
      <c r="E37" s="187">
        <v>71</v>
      </c>
      <c r="F37" s="187">
        <v>27</v>
      </c>
      <c r="G37" s="187">
        <v>1</v>
      </c>
      <c r="H37" s="187">
        <v>15</v>
      </c>
      <c r="I37" s="187">
        <v>68</v>
      </c>
      <c r="J37" s="187">
        <v>50</v>
      </c>
      <c r="K37" s="198">
        <v>14</v>
      </c>
      <c r="L37" s="198">
        <v>78</v>
      </c>
      <c r="M37" s="198">
        <v>0</v>
      </c>
      <c r="N37" s="198">
        <v>8</v>
      </c>
      <c r="O37" s="198">
        <v>5.0000000000000001E-3</v>
      </c>
      <c r="P37" s="198">
        <v>2E-3</v>
      </c>
      <c r="Q37" s="198">
        <v>0.1</v>
      </c>
      <c r="R37" s="198">
        <v>0.04</v>
      </c>
      <c r="S37" s="198">
        <v>0.02</v>
      </c>
      <c r="T37" s="198">
        <v>43</v>
      </c>
      <c r="U37" s="198">
        <v>10</v>
      </c>
      <c r="V37" s="198">
        <v>24</v>
      </c>
      <c r="W37" s="198">
        <v>15</v>
      </c>
      <c r="X37" s="198">
        <v>26</v>
      </c>
      <c r="Y37" s="198">
        <v>0</v>
      </c>
      <c r="Z37" s="198">
        <v>27</v>
      </c>
      <c r="AA37" s="198">
        <v>0.7</v>
      </c>
      <c r="AB37" s="198" t="s">
        <v>265</v>
      </c>
      <c r="AC37" s="198">
        <v>26</v>
      </c>
      <c r="AD37" s="7"/>
      <c r="AE37" s="7"/>
      <c r="AF37" s="7"/>
      <c r="AG37" s="7"/>
      <c r="AH37" s="7"/>
      <c r="AI37" s="7"/>
      <c r="AJ37" s="7"/>
      <c r="AK37" s="7"/>
      <c r="AL37" s="7"/>
      <c r="AM37" s="7"/>
      <c r="AN37" s="7"/>
      <c r="AO37" s="7"/>
      <c r="AP37" s="7"/>
      <c r="AQ37" s="7"/>
      <c r="AR37" s="7"/>
      <c r="AS37" s="7"/>
      <c r="AT37" s="7"/>
      <c r="AU37" s="7"/>
      <c r="AV37" s="7"/>
      <c r="AW37" s="7"/>
      <c r="AX37" s="7"/>
      <c r="AY37" s="7"/>
      <c r="AZ37" s="7"/>
      <c r="BA37" s="7"/>
    </row>
    <row r="38" spans="1:53" ht="15.75" customHeight="1">
      <c r="A38" s="202" t="s">
        <v>229</v>
      </c>
      <c r="B38" s="7" t="s">
        <v>70</v>
      </c>
      <c r="C38" s="203">
        <v>59.6</v>
      </c>
      <c r="D38" s="203">
        <v>15.3</v>
      </c>
      <c r="E38" s="187">
        <v>76</v>
      </c>
      <c r="F38" s="187">
        <v>38</v>
      </c>
      <c r="G38" s="187">
        <v>1.5</v>
      </c>
      <c r="H38" s="187">
        <v>22</v>
      </c>
      <c r="I38" s="187">
        <v>74</v>
      </c>
      <c r="J38" s="187">
        <v>50</v>
      </c>
      <c r="K38" s="203">
        <v>6</v>
      </c>
      <c r="L38" s="203">
        <v>94</v>
      </c>
      <c r="M38" s="198">
        <v>0</v>
      </c>
      <c r="N38" s="203">
        <v>0</v>
      </c>
      <c r="O38" s="198">
        <v>5.0000000000000001E-3</v>
      </c>
      <c r="P38" s="198">
        <v>2E-3</v>
      </c>
      <c r="Q38" s="198">
        <v>0.1</v>
      </c>
      <c r="R38" s="198">
        <v>0.04</v>
      </c>
      <c r="S38" s="198">
        <v>0.02</v>
      </c>
      <c r="T38" s="198">
        <v>43</v>
      </c>
      <c r="U38" s="198">
        <v>10</v>
      </c>
      <c r="V38" s="198">
        <v>24</v>
      </c>
      <c r="W38" s="198">
        <v>15</v>
      </c>
      <c r="X38" s="198">
        <v>26</v>
      </c>
      <c r="Y38" s="198">
        <v>0</v>
      </c>
      <c r="Z38" s="198">
        <v>27</v>
      </c>
      <c r="AA38" s="198">
        <v>0.7</v>
      </c>
      <c r="AB38" s="201" t="s">
        <v>267</v>
      </c>
      <c r="AC38" s="203">
        <v>11</v>
      </c>
      <c r="AD38" s="7"/>
      <c r="AE38" s="7"/>
      <c r="AF38" s="7"/>
      <c r="AG38" s="7"/>
      <c r="AH38" s="7"/>
      <c r="AI38" s="7"/>
      <c r="AJ38" s="7"/>
      <c r="AK38" s="7"/>
      <c r="AL38" s="7"/>
      <c r="AM38" s="7"/>
      <c r="AN38" s="7"/>
      <c r="AO38" s="7"/>
      <c r="AP38" s="7"/>
      <c r="AQ38" s="7"/>
      <c r="AR38" s="7"/>
      <c r="AS38" s="7"/>
      <c r="AT38" s="7"/>
      <c r="AU38" s="7"/>
      <c r="AV38" s="7"/>
      <c r="AW38" s="7"/>
      <c r="AX38" s="7"/>
      <c r="AY38" s="7"/>
      <c r="AZ38" s="7"/>
      <c r="BA38" s="7"/>
    </row>
    <row r="39" spans="1:53" ht="15.75" customHeight="1">
      <c r="A39" s="200" t="s">
        <v>230</v>
      </c>
      <c r="B39" s="7" t="s">
        <v>71</v>
      </c>
      <c r="C39" s="198">
        <v>48.4</v>
      </c>
      <c r="D39" s="198">
        <v>9.1</v>
      </c>
      <c r="E39" s="187">
        <v>61</v>
      </c>
      <c r="F39" s="187">
        <v>22</v>
      </c>
      <c r="G39" s="187">
        <v>1</v>
      </c>
      <c r="H39" s="187">
        <v>13.5</v>
      </c>
      <c r="I39" s="187">
        <v>66</v>
      </c>
      <c r="J39" s="187">
        <v>50</v>
      </c>
      <c r="K39" s="198">
        <v>0</v>
      </c>
      <c r="L39" s="198">
        <v>80</v>
      </c>
      <c r="M39" s="198">
        <v>1</v>
      </c>
      <c r="N39" s="198">
        <v>20</v>
      </c>
      <c r="O39" s="198">
        <v>5.0000000000000001E-3</v>
      </c>
      <c r="P39" s="198">
        <v>2E-3</v>
      </c>
      <c r="Q39" s="198">
        <v>0.1</v>
      </c>
      <c r="R39" s="198">
        <v>0.04</v>
      </c>
      <c r="S39" s="198">
        <v>0.02</v>
      </c>
      <c r="T39" s="198">
        <v>43</v>
      </c>
      <c r="U39" s="198">
        <v>10</v>
      </c>
      <c r="V39" s="198">
        <v>24</v>
      </c>
      <c r="W39" s="198">
        <v>15</v>
      </c>
      <c r="X39" s="198">
        <v>26</v>
      </c>
      <c r="Y39" s="198">
        <v>0</v>
      </c>
      <c r="Z39" s="198">
        <v>27</v>
      </c>
      <c r="AA39" s="198">
        <v>0.7</v>
      </c>
      <c r="AB39" s="198" t="s">
        <v>264</v>
      </c>
      <c r="AC39" s="198">
        <v>33</v>
      </c>
      <c r="AD39" s="7"/>
      <c r="AE39" s="7"/>
      <c r="AF39" s="7"/>
      <c r="AG39" s="7"/>
      <c r="AH39" s="7"/>
      <c r="AI39" s="7"/>
      <c r="AJ39" s="7"/>
      <c r="AK39" s="7"/>
      <c r="AL39" s="7"/>
      <c r="AM39" s="7"/>
      <c r="AN39" s="7"/>
      <c r="AO39" s="7"/>
      <c r="AP39" s="7"/>
      <c r="AQ39" s="7"/>
      <c r="AR39" s="7"/>
      <c r="AS39" s="7"/>
      <c r="AT39" s="7"/>
      <c r="AU39" s="7"/>
      <c r="AV39" s="7"/>
      <c r="AW39" s="7"/>
      <c r="AX39" s="7"/>
      <c r="AY39" s="7"/>
      <c r="AZ39" s="7"/>
      <c r="BA39" s="7"/>
    </row>
    <row r="40" spans="1:53" ht="15.75" customHeight="1">
      <c r="A40" s="202" t="s">
        <v>231</v>
      </c>
      <c r="B40" s="7" t="s">
        <v>72</v>
      </c>
      <c r="C40" s="203">
        <v>48.8</v>
      </c>
      <c r="D40" s="203">
        <v>9.3000000000000007</v>
      </c>
      <c r="E40" s="187">
        <v>71</v>
      </c>
      <c r="F40" s="187">
        <v>27</v>
      </c>
      <c r="G40" s="187">
        <v>1</v>
      </c>
      <c r="H40" s="187">
        <v>13.5</v>
      </c>
      <c r="I40" s="187">
        <v>66</v>
      </c>
      <c r="J40" s="187">
        <v>50</v>
      </c>
      <c r="K40" s="203">
        <v>47</v>
      </c>
      <c r="L40" s="203">
        <v>44</v>
      </c>
      <c r="M40" s="198">
        <v>0</v>
      </c>
      <c r="N40" s="203">
        <v>9</v>
      </c>
      <c r="O40" s="198">
        <v>5.0000000000000001E-3</v>
      </c>
      <c r="P40" s="198">
        <v>2E-3</v>
      </c>
      <c r="Q40" s="198">
        <v>0.1</v>
      </c>
      <c r="R40" s="198">
        <v>0.04</v>
      </c>
      <c r="S40" s="198">
        <v>0.02</v>
      </c>
      <c r="T40" s="198">
        <v>43</v>
      </c>
      <c r="U40" s="198">
        <v>10</v>
      </c>
      <c r="V40" s="198">
        <v>24</v>
      </c>
      <c r="W40" s="198">
        <v>15</v>
      </c>
      <c r="X40" s="198">
        <v>26</v>
      </c>
      <c r="Y40" s="198">
        <v>0</v>
      </c>
      <c r="Z40" s="198">
        <v>27</v>
      </c>
      <c r="AA40" s="198">
        <v>0.7</v>
      </c>
      <c r="AB40" s="198" t="s">
        <v>266</v>
      </c>
      <c r="AC40" s="203">
        <v>30</v>
      </c>
      <c r="AD40" s="7"/>
      <c r="AE40" s="7"/>
      <c r="AF40" s="7"/>
      <c r="AG40" s="7"/>
      <c r="AH40" s="7"/>
      <c r="AI40" s="7"/>
      <c r="AJ40" s="7"/>
      <c r="AK40" s="7"/>
      <c r="AL40" s="7"/>
      <c r="AM40" s="7"/>
      <c r="AN40" s="7"/>
      <c r="AO40" s="7"/>
      <c r="AP40" s="7"/>
      <c r="AQ40" s="7"/>
      <c r="AR40" s="7"/>
      <c r="AS40" s="7"/>
      <c r="AT40" s="7"/>
      <c r="AU40" s="7"/>
      <c r="AV40" s="7"/>
      <c r="AW40" s="7"/>
      <c r="AX40" s="7"/>
      <c r="AY40" s="7"/>
      <c r="AZ40" s="7"/>
      <c r="BA40" s="7"/>
    </row>
    <row r="41" spans="1:53" ht="15.75" customHeight="1">
      <c r="A41" s="200" t="s">
        <v>232</v>
      </c>
      <c r="B41" s="7" t="s">
        <v>73</v>
      </c>
      <c r="C41" s="198">
        <v>50.1</v>
      </c>
      <c r="D41" s="198">
        <v>10.1</v>
      </c>
      <c r="E41" s="187">
        <v>71</v>
      </c>
      <c r="F41" s="187">
        <v>27</v>
      </c>
      <c r="G41" s="187">
        <v>1</v>
      </c>
      <c r="H41" s="187">
        <v>15</v>
      </c>
      <c r="I41" s="187">
        <v>68</v>
      </c>
      <c r="J41" s="187">
        <v>50</v>
      </c>
      <c r="K41" s="198">
        <v>47</v>
      </c>
      <c r="L41" s="198">
        <v>44</v>
      </c>
      <c r="M41" s="198">
        <v>0</v>
      </c>
      <c r="N41" s="198">
        <v>9</v>
      </c>
      <c r="O41" s="198">
        <v>5.0000000000000001E-3</v>
      </c>
      <c r="P41" s="198">
        <v>2E-3</v>
      </c>
      <c r="Q41" s="198">
        <v>0.1</v>
      </c>
      <c r="R41" s="198">
        <v>0.04</v>
      </c>
      <c r="S41" s="198">
        <v>0.02</v>
      </c>
      <c r="T41" s="198">
        <v>43</v>
      </c>
      <c r="U41" s="198">
        <v>10</v>
      </c>
      <c r="V41" s="198">
        <v>24</v>
      </c>
      <c r="W41" s="198">
        <v>15</v>
      </c>
      <c r="X41" s="198">
        <v>26</v>
      </c>
      <c r="Y41" s="198">
        <v>0</v>
      </c>
      <c r="Z41" s="198">
        <v>27</v>
      </c>
      <c r="AA41" s="198">
        <v>0.7</v>
      </c>
      <c r="AB41" s="198" t="s">
        <v>266</v>
      </c>
      <c r="AC41" s="198">
        <v>27</v>
      </c>
      <c r="AD41" s="7"/>
      <c r="AE41" s="7"/>
      <c r="AF41" s="7"/>
      <c r="AG41" s="7"/>
      <c r="AH41" s="7"/>
      <c r="AI41" s="7"/>
      <c r="AJ41" s="7"/>
      <c r="AK41" s="7"/>
      <c r="AL41" s="7"/>
      <c r="AM41" s="7"/>
      <c r="AN41" s="7"/>
      <c r="AO41" s="7"/>
      <c r="AP41" s="7"/>
      <c r="AQ41" s="7"/>
      <c r="AR41" s="7"/>
      <c r="AS41" s="7"/>
      <c r="AT41" s="7"/>
      <c r="AU41" s="7"/>
      <c r="AV41" s="7"/>
      <c r="AW41" s="7"/>
      <c r="AX41" s="7"/>
      <c r="AY41" s="7"/>
      <c r="AZ41" s="7"/>
      <c r="BA41" s="7"/>
    </row>
    <row r="42" spans="1:53" ht="15.75" customHeight="1">
      <c r="A42" s="202" t="s">
        <v>233</v>
      </c>
      <c r="B42" s="7" t="s">
        <v>74</v>
      </c>
      <c r="C42" s="203">
        <v>62.4</v>
      </c>
      <c r="D42" s="203">
        <v>16.899999999999999</v>
      </c>
      <c r="E42" s="187">
        <v>76</v>
      </c>
      <c r="F42" s="187">
        <v>41</v>
      </c>
      <c r="G42" s="187">
        <v>1.5</v>
      </c>
      <c r="H42" s="187">
        <v>26</v>
      </c>
      <c r="I42" s="187">
        <v>76</v>
      </c>
      <c r="J42" s="187">
        <v>50</v>
      </c>
      <c r="K42" s="203">
        <v>15</v>
      </c>
      <c r="L42" s="203">
        <v>31</v>
      </c>
      <c r="M42" s="198">
        <v>0</v>
      </c>
      <c r="N42" s="203">
        <v>54</v>
      </c>
      <c r="O42" s="198">
        <v>5.0000000000000001E-3</v>
      </c>
      <c r="P42" s="198">
        <v>2E-3</v>
      </c>
      <c r="Q42" s="198">
        <v>0.1</v>
      </c>
      <c r="R42" s="198">
        <v>0.04</v>
      </c>
      <c r="S42" s="198">
        <v>0.02</v>
      </c>
      <c r="T42" s="198">
        <v>43</v>
      </c>
      <c r="U42" s="198">
        <v>10</v>
      </c>
      <c r="V42" s="198">
        <v>24</v>
      </c>
      <c r="W42" s="198">
        <v>15</v>
      </c>
      <c r="X42" s="198">
        <v>26</v>
      </c>
      <c r="Y42" s="198">
        <v>0</v>
      </c>
      <c r="Z42" s="198">
        <v>27</v>
      </c>
      <c r="AA42" s="198">
        <v>0.7</v>
      </c>
      <c r="AB42" s="201" t="s">
        <v>267</v>
      </c>
      <c r="AC42" s="203">
        <v>8</v>
      </c>
      <c r="AD42" s="7"/>
      <c r="AE42" s="7"/>
      <c r="AF42" s="7"/>
      <c r="AG42" s="7"/>
      <c r="AH42" s="7"/>
      <c r="AI42" s="7"/>
      <c r="AJ42" s="7"/>
      <c r="AK42" s="7"/>
      <c r="AL42" s="7"/>
      <c r="AM42" s="7"/>
      <c r="AN42" s="7"/>
      <c r="AO42" s="7"/>
      <c r="AP42" s="7"/>
      <c r="AQ42" s="7"/>
      <c r="AR42" s="7"/>
      <c r="AS42" s="7"/>
      <c r="AT42" s="7"/>
      <c r="AU42" s="7"/>
      <c r="AV42" s="7"/>
      <c r="AW42" s="7"/>
      <c r="AX42" s="7"/>
      <c r="AY42" s="7"/>
      <c r="AZ42" s="7"/>
      <c r="BA42" s="7"/>
    </row>
    <row r="43" spans="1:53" ht="15.75" customHeight="1">
      <c r="A43" s="200" t="s">
        <v>234</v>
      </c>
      <c r="B43" s="7" t="s">
        <v>75</v>
      </c>
      <c r="C43" s="198">
        <v>45.2</v>
      </c>
      <c r="D43" s="198">
        <v>7.3</v>
      </c>
      <c r="E43" s="187">
        <v>69</v>
      </c>
      <c r="F43" s="187">
        <v>25</v>
      </c>
      <c r="G43" s="187">
        <v>1</v>
      </c>
      <c r="H43" s="187">
        <v>13.5</v>
      </c>
      <c r="I43" s="187">
        <v>66</v>
      </c>
      <c r="J43" s="187">
        <v>50</v>
      </c>
      <c r="K43" s="198">
        <v>8</v>
      </c>
      <c r="L43" s="198">
        <v>87</v>
      </c>
      <c r="M43" s="198">
        <v>0</v>
      </c>
      <c r="N43" s="198">
        <v>5</v>
      </c>
      <c r="O43" s="198">
        <v>5.0000000000000001E-3</v>
      </c>
      <c r="P43" s="198">
        <v>2E-3</v>
      </c>
      <c r="Q43" s="198">
        <v>0.1</v>
      </c>
      <c r="R43" s="198">
        <v>0.04</v>
      </c>
      <c r="S43" s="198">
        <v>0.02</v>
      </c>
      <c r="T43" s="198">
        <v>43</v>
      </c>
      <c r="U43" s="198">
        <v>10</v>
      </c>
      <c r="V43" s="198">
        <v>24</v>
      </c>
      <c r="W43" s="198">
        <v>15</v>
      </c>
      <c r="X43" s="198">
        <v>26</v>
      </c>
      <c r="Y43" s="198">
        <v>0</v>
      </c>
      <c r="Z43" s="198">
        <v>27</v>
      </c>
      <c r="AA43" s="198">
        <v>0.7</v>
      </c>
      <c r="AB43" s="198" t="s">
        <v>265</v>
      </c>
      <c r="AC43" s="198">
        <v>38</v>
      </c>
      <c r="AD43" s="7"/>
      <c r="AE43" s="7"/>
      <c r="AF43" s="7"/>
      <c r="AG43" s="7"/>
      <c r="AH43" s="7"/>
      <c r="AI43" s="7"/>
      <c r="AJ43" s="7"/>
      <c r="AK43" s="7"/>
      <c r="AL43" s="7"/>
      <c r="AM43" s="7"/>
      <c r="AN43" s="7"/>
      <c r="AO43" s="7"/>
      <c r="AP43" s="7"/>
      <c r="AQ43" s="7"/>
      <c r="AR43" s="7"/>
      <c r="AS43" s="7"/>
      <c r="AT43" s="7"/>
      <c r="AU43" s="7"/>
      <c r="AV43" s="7"/>
      <c r="AW43" s="7"/>
      <c r="AX43" s="7"/>
      <c r="AY43" s="7"/>
      <c r="AZ43" s="7"/>
      <c r="BA43" s="7"/>
    </row>
    <row r="44" spans="1:53" ht="15.75" customHeight="1">
      <c r="A44" s="202" t="s">
        <v>235</v>
      </c>
      <c r="B44" s="7" t="s">
        <v>76</v>
      </c>
      <c r="C44" s="203">
        <v>57.6</v>
      </c>
      <c r="D44" s="203">
        <v>14.2</v>
      </c>
      <c r="E44" s="187">
        <v>74</v>
      </c>
      <c r="F44" s="187">
        <v>33</v>
      </c>
      <c r="G44" s="187">
        <v>1</v>
      </c>
      <c r="H44" s="187">
        <v>20</v>
      </c>
      <c r="I44" s="187">
        <v>73</v>
      </c>
      <c r="J44" s="187">
        <v>50</v>
      </c>
      <c r="K44" s="203">
        <v>25</v>
      </c>
      <c r="L44" s="203">
        <v>26</v>
      </c>
      <c r="M44" s="198">
        <v>0</v>
      </c>
      <c r="N44" s="203">
        <v>59</v>
      </c>
      <c r="O44" s="198">
        <v>5.0000000000000001E-3</v>
      </c>
      <c r="P44" s="198">
        <v>2E-3</v>
      </c>
      <c r="Q44" s="198">
        <v>0.1</v>
      </c>
      <c r="R44" s="198">
        <v>0.04</v>
      </c>
      <c r="S44" s="198">
        <v>0.02</v>
      </c>
      <c r="T44" s="198">
        <v>43</v>
      </c>
      <c r="U44" s="198">
        <v>10</v>
      </c>
      <c r="V44" s="198">
        <v>24</v>
      </c>
      <c r="W44" s="198">
        <v>15</v>
      </c>
      <c r="X44" s="198">
        <v>26</v>
      </c>
      <c r="Y44" s="198">
        <v>0</v>
      </c>
      <c r="Z44" s="198">
        <v>27</v>
      </c>
      <c r="AA44" s="198">
        <v>0.7</v>
      </c>
      <c r="AB44" s="201" t="s">
        <v>267</v>
      </c>
      <c r="AC44" s="203">
        <v>14</v>
      </c>
      <c r="AD44" s="7"/>
      <c r="AE44" s="7"/>
      <c r="AF44" s="7"/>
      <c r="AG44" s="7"/>
      <c r="AH44" s="7"/>
      <c r="AI44" s="7"/>
      <c r="AJ44" s="7"/>
      <c r="AK44" s="7"/>
      <c r="AL44" s="7"/>
      <c r="AM44" s="7"/>
      <c r="AN44" s="7"/>
      <c r="AO44" s="7"/>
      <c r="AP44" s="7"/>
      <c r="AQ44" s="7"/>
      <c r="AR44" s="7"/>
      <c r="AS44" s="7"/>
      <c r="AT44" s="7"/>
      <c r="AU44" s="7"/>
      <c r="AV44" s="7"/>
      <c r="AW44" s="7"/>
      <c r="AX44" s="7"/>
      <c r="AY44" s="7"/>
      <c r="AZ44" s="7"/>
      <c r="BA44" s="7"/>
    </row>
    <row r="45" spans="1:53" ht="15.75" customHeight="1">
      <c r="A45" s="200" t="s">
        <v>236</v>
      </c>
      <c r="B45" s="7" t="s">
        <v>77</v>
      </c>
      <c r="C45" s="198">
        <v>64.8</v>
      </c>
      <c r="D45" s="198">
        <v>18.2</v>
      </c>
      <c r="E45" s="187">
        <v>77</v>
      </c>
      <c r="F45" s="187">
        <v>41</v>
      </c>
      <c r="G45" s="187">
        <v>1.5</v>
      </c>
      <c r="H45" s="187">
        <v>28.5</v>
      </c>
      <c r="I45" s="187">
        <v>77</v>
      </c>
      <c r="J45" s="187">
        <v>50</v>
      </c>
      <c r="K45" s="198">
        <v>8</v>
      </c>
      <c r="L45" s="198">
        <v>92</v>
      </c>
      <c r="M45" s="198">
        <v>0</v>
      </c>
      <c r="N45" s="198">
        <v>0</v>
      </c>
      <c r="O45" s="198">
        <v>5.0000000000000001E-3</v>
      </c>
      <c r="P45" s="198">
        <v>2E-3</v>
      </c>
      <c r="Q45" s="198">
        <v>0.1</v>
      </c>
      <c r="R45" s="198">
        <v>0.04</v>
      </c>
      <c r="S45" s="198">
        <v>0.02</v>
      </c>
      <c r="T45" s="198">
        <v>43</v>
      </c>
      <c r="U45" s="198">
        <v>10</v>
      </c>
      <c r="V45" s="198">
        <v>24</v>
      </c>
      <c r="W45" s="198">
        <v>15</v>
      </c>
      <c r="X45" s="198">
        <v>26</v>
      </c>
      <c r="Y45" s="198">
        <v>0</v>
      </c>
      <c r="Z45" s="198">
        <v>27</v>
      </c>
      <c r="AA45" s="198">
        <v>0.7</v>
      </c>
      <c r="AB45" s="201" t="s">
        <v>267</v>
      </c>
      <c r="AC45" s="198">
        <v>4</v>
      </c>
      <c r="AD45" s="7"/>
      <c r="AE45" s="7"/>
      <c r="AF45" s="7"/>
      <c r="AG45" s="7"/>
      <c r="AH45" s="7"/>
      <c r="AI45" s="7"/>
      <c r="AJ45" s="7"/>
      <c r="AK45" s="7"/>
      <c r="AL45" s="7"/>
      <c r="AM45" s="7"/>
      <c r="AN45" s="7"/>
      <c r="AO45" s="7"/>
      <c r="AP45" s="7"/>
      <c r="AQ45" s="7"/>
      <c r="AR45" s="7"/>
      <c r="AS45" s="7"/>
      <c r="AT45" s="7"/>
      <c r="AU45" s="7"/>
      <c r="AV45" s="7"/>
      <c r="AW45" s="7"/>
      <c r="AX45" s="7"/>
      <c r="AY45" s="7"/>
      <c r="AZ45" s="7"/>
      <c r="BA45" s="7"/>
    </row>
    <row r="46" spans="1:53" ht="15.75" customHeight="1">
      <c r="A46" s="202" t="s">
        <v>237</v>
      </c>
      <c r="B46" s="7" t="s">
        <v>78</v>
      </c>
      <c r="C46" s="203">
        <v>48.6</v>
      </c>
      <c r="D46" s="203">
        <v>9.1999999999999993</v>
      </c>
      <c r="E46" s="187">
        <v>68</v>
      </c>
      <c r="F46" s="187">
        <v>23</v>
      </c>
      <c r="G46" s="187">
        <v>1</v>
      </c>
      <c r="H46" s="187">
        <v>13.5</v>
      </c>
      <c r="I46" s="187">
        <v>66</v>
      </c>
      <c r="J46" s="187">
        <v>50</v>
      </c>
      <c r="K46" s="203">
        <v>1</v>
      </c>
      <c r="L46" s="203">
        <v>98</v>
      </c>
      <c r="M46" s="198">
        <v>0</v>
      </c>
      <c r="N46" s="203">
        <v>1</v>
      </c>
      <c r="O46" s="198">
        <v>5.0000000000000001E-3</v>
      </c>
      <c r="P46" s="198">
        <v>2E-3</v>
      </c>
      <c r="Q46" s="198">
        <v>0.1</v>
      </c>
      <c r="R46" s="198">
        <v>0.04</v>
      </c>
      <c r="S46" s="198">
        <v>0.02</v>
      </c>
      <c r="T46" s="198">
        <v>43</v>
      </c>
      <c r="U46" s="198">
        <v>10</v>
      </c>
      <c r="V46" s="198">
        <v>24</v>
      </c>
      <c r="W46" s="198">
        <v>15</v>
      </c>
      <c r="X46" s="198">
        <v>26</v>
      </c>
      <c r="Y46" s="198">
        <v>0</v>
      </c>
      <c r="Z46" s="198">
        <v>27</v>
      </c>
      <c r="AA46" s="198">
        <v>0.7</v>
      </c>
      <c r="AB46" s="198" t="s">
        <v>264</v>
      </c>
      <c r="AC46" s="203">
        <v>32</v>
      </c>
      <c r="AD46" s="7"/>
      <c r="AE46" s="7"/>
      <c r="AF46" s="7"/>
      <c r="AG46" s="7"/>
      <c r="AH46" s="7"/>
      <c r="AI46" s="7"/>
      <c r="AJ46" s="7"/>
      <c r="AK46" s="7"/>
      <c r="AL46" s="7"/>
      <c r="AM46" s="7"/>
      <c r="AN46" s="7"/>
      <c r="AO46" s="7"/>
      <c r="AP46" s="7"/>
      <c r="AQ46" s="7"/>
      <c r="AR46" s="7"/>
      <c r="AS46" s="7"/>
      <c r="AT46" s="7"/>
      <c r="AU46" s="7"/>
      <c r="AV46" s="7"/>
      <c r="AW46" s="7"/>
      <c r="AX46" s="7"/>
      <c r="AY46" s="7"/>
      <c r="AZ46" s="7"/>
      <c r="BA46" s="7"/>
    </row>
    <row r="47" spans="1:53" ht="15.75" customHeight="1">
      <c r="A47" s="200" t="s">
        <v>238</v>
      </c>
      <c r="B47" s="7" t="s">
        <v>80</v>
      </c>
      <c r="C47" s="198">
        <v>42.9</v>
      </c>
      <c r="D47" s="198">
        <v>6.1</v>
      </c>
      <c r="E47" s="187">
        <v>64</v>
      </c>
      <c r="F47" s="187">
        <v>21</v>
      </c>
      <c r="G47" s="187">
        <v>1</v>
      </c>
      <c r="H47" s="187">
        <v>13.5</v>
      </c>
      <c r="I47" s="187">
        <v>66</v>
      </c>
      <c r="J47" s="187">
        <v>50</v>
      </c>
      <c r="K47" s="198">
        <v>44</v>
      </c>
      <c r="L47" s="198">
        <v>49</v>
      </c>
      <c r="M47" s="198">
        <v>0</v>
      </c>
      <c r="N47" s="198">
        <v>7</v>
      </c>
      <c r="O47" s="198">
        <v>5.0000000000000001E-3</v>
      </c>
      <c r="P47" s="198">
        <v>2E-3</v>
      </c>
      <c r="Q47" s="198">
        <v>0.1</v>
      </c>
      <c r="R47" s="198">
        <v>0.04</v>
      </c>
      <c r="S47" s="198">
        <v>0.02</v>
      </c>
      <c r="T47" s="198">
        <v>43</v>
      </c>
      <c r="U47" s="198">
        <v>10</v>
      </c>
      <c r="V47" s="198">
        <v>24</v>
      </c>
      <c r="W47" s="198">
        <v>15</v>
      </c>
      <c r="X47" s="198">
        <v>26</v>
      </c>
      <c r="Y47" s="198">
        <v>0</v>
      </c>
      <c r="Z47" s="198">
        <v>27</v>
      </c>
      <c r="AA47" s="198">
        <v>0.7</v>
      </c>
      <c r="AB47" s="198" t="s">
        <v>266</v>
      </c>
      <c r="AC47" s="198">
        <v>44</v>
      </c>
      <c r="AD47" s="7"/>
      <c r="AE47" s="7"/>
      <c r="AF47" s="7"/>
      <c r="AG47" s="7"/>
      <c r="AH47" s="7"/>
      <c r="AI47" s="7"/>
      <c r="AJ47" s="7"/>
      <c r="AK47" s="7"/>
      <c r="AL47" s="7"/>
      <c r="AM47" s="7"/>
      <c r="AN47" s="7"/>
      <c r="AO47" s="7"/>
      <c r="AP47" s="7"/>
      <c r="AQ47" s="7"/>
      <c r="AR47" s="7"/>
      <c r="AS47" s="7"/>
      <c r="AT47" s="7"/>
      <c r="AU47" s="7"/>
      <c r="AV47" s="7"/>
      <c r="AW47" s="7"/>
      <c r="AX47" s="7"/>
      <c r="AY47" s="7"/>
      <c r="AZ47" s="7"/>
      <c r="BA47" s="7"/>
    </row>
    <row r="48" spans="1:53" ht="15.75" customHeight="1">
      <c r="A48" s="202" t="s">
        <v>239</v>
      </c>
      <c r="B48" s="7" t="s">
        <v>79</v>
      </c>
      <c r="C48" s="203">
        <v>55.1</v>
      </c>
      <c r="D48" s="203">
        <v>12.8</v>
      </c>
      <c r="E48" s="187">
        <v>72</v>
      </c>
      <c r="F48" s="187">
        <v>29</v>
      </c>
      <c r="G48" s="187">
        <v>1</v>
      </c>
      <c r="H48" s="187">
        <v>18</v>
      </c>
      <c r="I48" s="187">
        <v>71</v>
      </c>
      <c r="J48" s="187">
        <v>50</v>
      </c>
      <c r="K48" s="203">
        <v>15</v>
      </c>
      <c r="L48" s="203">
        <v>28</v>
      </c>
      <c r="M48" s="198">
        <v>0</v>
      </c>
      <c r="N48" s="203">
        <v>57</v>
      </c>
      <c r="O48" s="198">
        <v>5.0000000000000001E-3</v>
      </c>
      <c r="P48" s="198">
        <v>2E-3</v>
      </c>
      <c r="Q48" s="198">
        <v>0.1</v>
      </c>
      <c r="R48" s="198">
        <v>0.04</v>
      </c>
      <c r="S48" s="198">
        <v>0.02</v>
      </c>
      <c r="T48" s="198">
        <v>43</v>
      </c>
      <c r="U48" s="198">
        <v>10</v>
      </c>
      <c r="V48" s="198">
        <v>24</v>
      </c>
      <c r="W48" s="198">
        <v>15</v>
      </c>
      <c r="X48" s="198">
        <v>26</v>
      </c>
      <c r="Y48" s="198">
        <v>0</v>
      </c>
      <c r="Z48" s="198">
        <v>27</v>
      </c>
      <c r="AA48" s="198">
        <v>0.7</v>
      </c>
      <c r="AB48" s="201" t="s">
        <v>267</v>
      </c>
      <c r="AC48" s="203">
        <v>17</v>
      </c>
      <c r="AD48" s="7"/>
      <c r="AE48" s="7"/>
      <c r="AF48" s="7"/>
      <c r="AG48" s="7"/>
      <c r="AH48" s="7"/>
      <c r="AI48" s="7"/>
      <c r="AJ48" s="7"/>
      <c r="AK48" s="7"/>
      <c r="AL48" s="7"/>
      <c r="AM48" s="7"/>
      <c r="AN48" s="7"/>
      <c r="AO48" s="7"/>
      <c r="AP48" s="7"/>
      <c r="AQ48" s="7"/>
      <c r="AR48" s="7"/>
      <c r="AS48" s="7"/>
      <c r="AT48" s="7"/>
      <c r="AU48" s="7"/>
      <c r="AV48" s="7"/>
      <c r="AW48" s="7"/>
      <c r="AX48" s="7"/>
      <c r="AY48" s="7"/>
      <c r="AZ48" s="7"/>
      <c r="BA48" s="7"/>
    </row>
    <row r="49" spans="1:53" ht="15.75" customHeight="1">
      <c r="A49" s="200" t="s">
        <v>240</v>
      </c>
      <c r="B49" s="7" t="s">
        <v>81</v>
      </c>
      <c r="C49" s="198">
        <v>48.3</v>
      </c>
      <c r="D49" s="198">
        <v>9.1</v>
      </c>
      <c r="E49" s="187">
        <v>64</v>
      </c>
      <c r="F49" s="187">
        <v>21</v>
      </c>
      <c r="G49" s="187">
        <v>1</v>
      </c>
      <c r="H49" s="187">
        <v>13.5</v>
      </c>
      <c r="I49" s="187">
        <v>66</v>
      </c>
      <c r="J49" s="187">
        <v>50</v>
      </c>
      <c r="K49" s="198">
        <v>0</v>
      </c>
      <c r="L49" s="198">
        <v>83</v>
      </c>
      <c r="M49" s="198">
        <v>1</v>
      </c>
      <c r="N49" s="198">
        <v>17</v>
      </c>
      <c r="O49" s="198">
        <v>5.0000000000000001E-3</v>
      </c>
      <c r="P49" s="198">
        <v>2E-3</v>
      </c>
      <c r="Q49" s="198">
        <v>0.1</v>
      </c>
      <c r="R49" s="198">
        <v>0.04</v>
      </c>
      <c r="S49" s="198">
        <v>0.02</v>
      </c>
      <c r="T49" s="198">
        <v>43</v>
      </c>
      <c r="U49" s="198">
        <v>10</v>
      </c>
      <c r="V49" s="198">
        <v>24</v>
      </c>
      <c r="W49" s="198">
        <v>15</v>
      </c>
      <c r="X49" s="198">
        <v>26</v>
      </c>
      <c r="Y49" s="198">
        <v>0</v>
      </c>
      <c r="Z49" s="198">
        <v>27</v>
      </c>
      <c r="AA49" s="198">
        <v>0.7</v>
      </c>
      <c r="AB49" s="198" t="s">
        <v>264</v>
      </c>
      <c r="AC49" s="198">
        <v>34</v>
      </c>
      <c r="AD49" s="7"/>
      <c r="AE49" s="7"/>
      <c r="AF49" s="7"/>
      <c r="AG49" s="7"/>
      <c r="AH49" s="7"/>
      <c r="AI49" s="7"/>
      <c r="AJ49" s="7"/>
      <c r="AK49" s="7"/>
      <c r="AL49" s="7"/>
      <c r="AM49" s="7"/>
      <c r="AN49" s="7"/>
      <c r="AO49" s="7"/>
      <c r="AP49" s="7"/>
      <c r="AQ49" s="7"/>
      <c r="AR49" s="7"/>
      <c r="AS49" s="7"/>
      <c r="AT49" s="7"/>
      <c r="AU49" s="7"/>
      <c r="AV49" s="7"/>
      <c r="AW49" s="7"/>
      <c r="AX49" s="7"/>
      <c r="AY49" s="7"/>
      <c r="AZ49" s="7"/>
      <c r="BA49" s="7"/>
    </row>
    <row r="50" spans="1:53" ht="15.75" customHeight="1">
      <c r="A50" s="202" t="s">
        <v>241</v>
      </c>
      <c r="B50" s="7" t="s">
        <v>83</v>
      </c>
      <c r="C50" s="203">
        <v>51.8</v>
      </c>
      <c r="D50" s="203">
        <v>11</v>
      </c>
      <c r="E50" s="187">
        <v>71</v>
      </c>
      <c r="F50" s="187">
        <v>27</v>
      </c>
      <c r="G50" s="187">
        <v>1</v>
      </c>
      <c r="H50" s="187">
        <v>15</v>
      </c>
      <c r="I50" s="187">
        <v>68</v>
      </c>
      <c r="J50" s="187">
        <v>50</v>
      </c>
      <c r="K50" s="203">
        <v>45</v>
      </c>
      <c r="L50" s="203">
        <v>48</v>
      </c>
      <c r="M50" s="198">
        <v>0</v>
      </c>
      <c r="N50" s="203">
        <v>7</v>
      </c>
      <c r="O50" s="198">
        <v>5.0000000000000001E-3</v>
      </c>
      <c r="P50" s="198">
        <v>2E-3</v>
      </c>
      <c r="Q50" s="198">
        <v>0.1</v>
      </c>
      <c r="R50" s="198">
        <v>0.04</v>
      </c>
      <c r="S50" s="198">
        <v>0.02</v>
      </c>
      <c r="T50" s="198">
        <v>43</v>
      </c>
      <c r="U50" s="198">
        <v>10</v>
      </c>
      <c r="V50" s="198">
        <v>24</v>
      </c>
      <c r="W50" s="198">
        <v>15</v>
      </c>
      <c r="X50" s="198">
        <v>26</v>
      </c>
      <c r="Y50" s="198">
        <v>0</v>
      </c>
      <c r="Z50" s="198">
        <v>27</v>
      </c>
      <c r="AA50" s="198">
        <v>0.7</v>
      </c>
      <c r="AB50" s="198" t="s">
        <v>266</v>
      </c>
      <c r="AC50" s="203">
        <v>23</v>
      </c>
      <c r="AD50" s="7"/>
      <c r="AE50" s="7"/>
      <c r="AF50" s="7"/>
      <c r="AG50" s="7"/>
      <c r="AH50" s="7"/>
      <c r="AI50" s="7"/>
      <c r="AJ50" s="7"/>
      <c r="AK50" s="7"/>
      <c r="AL50" s="7"/>
      <c r="AM50" s="7"/>
      <c r="AN50" s="7"/>
      <c r="AO50" s="7"/>
      <c r="AP50" s="7"/>
      <c r="AQ50" s="7"/>
      <c r="AR50" s="7"/>
      <c r="AS50" s="7"/>
      <c r="AT50" s="7"/>
      <c r="AU50" s="7"/>
      <c r="AV50" s="7"/>
      <c r="AW50" s="7"/>
      <c r="AX50" s="7"/>
      <c r="AY50" s="7"/>
      <c r="AZ50" s="7"/>
      <c r="BA50" s="7"/>
    </row>
    <row r="51" spans="1:53" ht="15.75" customHeight="1">
      <c r="A51" s="200" t="s">
        <v>242</v>
      </c>
      <c r="B51" s="7" t="s">
        <v>82</v>
      </c>
      <c r="C51" s="198">
        <v>43.1</v>
      </c>
      <c r="D51" s="198">
        <v>6.2</v>
      </c>
      <c r="E51" s="187">
        <v>67</v>
      </c>
      <c r="F51" s="187">
        <v>23</v>
      </c>
      <c r="G51" s="187">
        <v>1</v>
      </c>
      <c r="H51" s="187">
        <v>13.5</v>
      </c>
      <c r="I51" s="187">
        <v>66</v>
      </c>
      <c r="J51" s="187">
        <v>50</v>
      </c>
      <c r="K51" s="198">
        <v>12</v>
      </c>
      <c r="L51" s="198">
        <v>82</v>
      </c>
      <c r="M51" s="198">
        <v>0</v>
      </c>
      <c r="N51" s="198">
        <v>7</v>
      </c>
      <c r="O51" s="198">
        <v>5.0000000000000001E-3</v>
      </c>
      <c r="P51" s="198">
        <v>2E-3</v>
      </c>
      <c r="Q51" s="198">
        <v>0.1</v>
      </c>
      <c r="R51" s="198">
        <v>0.04</v>
      </c>
      <c r="S51" s="198">
        <v>0.02</v>
      </c>
      <c r="T51" s="198">
        <v>43</v>
      </c>
      <c r="U51" s="198">
        <v>10</v>
      </c>
      <c r="V51" s="198">
        <v>24</v>
      </c>
      <c r="W51" s="198">
        <v>15</v>
      </c>
      <c r="X51" s="198">
        <v>26</v>
      </c>
      <c r="Y51" s="198">
        <v>0</v>
      </c>
      <c r="Z51" s="198">
        <v>27</v>
      </c>
      <c r="AA51" s="198">
        <v>0.7</v>
      </c>
      <c r="AB51" s="198" t="s">
        <v>265</v>
      </c>
      <c r="AC51" s="198">
        <v>43</v>
      </c>
      <c r="AD51" s="7"/>
      <c r="AE51" s="7"/>
      <c r="AF51" s="7"/>
      <c r="AG51" s="7"/>
      <c r="AH51" s="7"/>
      <c r="AI51" s="7"/>
      <c r="AJ51" s="7"/>
      <c r="AK51" s="7"/>
      <c r="AL51" s="7"/>
      <c r="AM51" s="7"/>
      <c r="AN51" s="7"/>
      <c r="AO51" s="7"/>
      <c r="AP51" s="7"/>
      <c r="AQ51" s="7"/>
      <c r="AR51" s="7"/>
      <c r="AS51" s="7"/>
      <c r="AT51" s="7"/>
      <c r="AU51" s="7"/>
      <c r="AV51" s="7"/>
      <c r="AW51" s="7"/>
      <c r="AX51" s="7"/>
      <c r="AY51" s="7"/>
      <c r="AZ51" s="7"/>
      <c r="BA51" s="7"/>
    </row>
    <row r="52" spans="1:53" ht="15.75" customHeight="1">
      <c r="A52" s="202" t="s">
        <v>243</v>
      </c>
      <c r="B52" s="7" t="s">
        <v>84</v>
      </c>
      <c r="C52" s="203">
        <v>42</v>
      </c>
      <c r="D52" s="203">
        <v>5.6</v>
      </c>
      <c r="E52" s="187">
        <v>62</v>
      </c>
      <c r="F52" s="187">
        <v>20</v>
      </c>
      <c r="G52" s="187">
        <v>1</v>
      </c>
      <c r="H52" s="187">
        <v>13.5</v>
      </c>
      <c r="I52" s="187">
        <v>66</v>
      </c>
      <c r="J52" s="187">
        <v>50</v>
      </c>
      <c r="K52" s="203">
        <v>12</v>
      </c>
      <c r="L52" s="203">
        <v>81</v>
      </c>
      <c r="M52" s="198">
        <v>0</v>
      </c>
      <c r="N52" s="203">
        <v>7</v>
      </c>
      <c r="O52" s="198">
        <v>5.0000000000000001E-3</v>
      </c>
      <c r="P52" s="198">
        <v>2E-3</v>
      </c>
      <c r="Q52" s="198">
        <v>0.1</v>
      </c>
      <c r="R52" s="198">
        <v>0.04</v>
      </c>
      <c r="S52" s="198">
        <v>0.02</v>
      </c>
      <c r="T52" s="198">
        <v>43</v>
      </c>
      <c r="U52" s="198">
        <v>10</v>
      </c>
      <c r="V52" s="198">
        <v>24</v>
      </c>
      <c r="W52" s="198">
        <v>15</v>
      </c>
      <c r="X52" s="198">
        <v>26</v>
      </c>
      <c r="Y52" s="198">
        <v>0</v>
      </c>
      <c r="Z52" s="198">
        <v>27</v>
      </c>
      <c r="AA52" s="198">
        <v>0.7</v>
      </c>
      <c r="AB52" s="198" t="s">
        <v>264</v>
      </c>
      <c r="AC52" s="203">
        <v>46</v>
      </c>
      <c r="AD52" s="7"/>
      <c r="AE52" s="7"/>
      <c r="AF52" s="7"/>
      <c r="AG52" s="7"/>
      <c r="AH52" s="7"/>
      <c r="AI52" s="7"/>
      <c r="AJ52" s="7"/>
      <c r="AK52" s="7"/>
      <c r="AL52" s="7"/>
      <c r="AM52" s="7"/>
      <c r="AN52" s="7"/>
      <c r="AO52" s="7"/>
      <c r="AP52" s="7"/>
      <c r="AQ52" s="7"/>
      <c r="AR52" s="7"/>
      <c r="AS52" s="7"/>
      <c r="AT52" s="7"/>
      <c r="AU52" s="7"/>
      <c r="AV52" s="7"/>
      <c r="AW52" s="7"/>
      <c r="AX52" s="7"/>
      <c r="AY52" s="7"/>
      <c r="AZ52" s="7"/>
      <c r="BA52" s="7"/>
    </row>
    <row r="53" spans="1:53" ht="15.75" customHeight="1">
      <c r="A53" s="7"/>
      <c r="B53" s="7"/>
      <c r="C53" s="7"/>
      <c r="D53" s="7"/>
      <c r="E53" s="45"/>
      <c r="F53" s="45"/>
      <c r="G53" s="45"/>
      <c r="H53" s="45"/>
      <c r="I53" s="45"/>
      <c r="J53" s="45"/>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row>
    <row r="54" spans="1:53"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row>
    <row r="55" spans="1:53"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row>
    <row r="56" spans="1:53"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row>
    <row r="57" spans="1:53"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row>
    <row r="58" spans="1:53"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row>
    <row r="59" spans="1:53"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row>
    <row r="60" spans="1:53"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row>
    <row r="61" spans="1:53"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row>
    <row r="62" spans="1:53"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row>
    <row r="63" spans="1:53"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row>
    <row r="64" spans="1:53"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row>
    <row r="65" spans="1:53"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row>
    <row r="66" spans="1:53"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row>
    <row r="67" spans="1:53"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row>
    <row r="68" spans="1:53"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row>
    <row r="69" spans="1:53"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row>
    <row r="70" spans="1:53"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row>
    <row r="71" spans="1:53"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row>
    <row r="72" spans="1:53"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row>
    <row r="73" spans="1:53"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row>
    <row r="74" spans="1:53"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row>
    <row r="75" spans="1:53"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row>
    <row r="76" spans="1:53"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row>
    <row r="77" spans="1:53"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row>
    <row r="78" spans="1:53"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row>
    <row r="79" spans="1:53"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row>
    <row r="80" spans="1:53"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row>
    <row r="81" spans="1:53"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row>
    <row r="82" spans="1:53"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row>
    <row r="83" spans="1:53"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row>
    <row r="84" spans="1:53"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row>
    <row r="85" spans="1:53"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row>
    <row r="86" spans="1:53"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row>
    <row r="87" spans="1:53"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row>
    <row r="88" spans="1:53"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row>
    <row r="89" spans="1:53"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row>
    <row r="90" spans="1:53"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row>
    <row r="91" spans="1:53"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row>
    <row r="92" spans="1:53"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row>
    <row r="93" spans="1:53"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row>
    <row r="94" spans="1:53"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row>
    <row r="95" spans="1:53"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row>
    <row r="96" spans="1:53"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row>
    <row r="97" spans="1:53"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row>
    <row r="98" spans="1:53"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row>
    <row r="99" spans="1:53"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row>
    <row r="100" spans="1:53"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row>
    <row r="101" spans="1:53"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row>
    <row r="102" spans="1:53"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row>
    <row r="103" spans="1:53"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row>
    <row r="104" spans="1:53"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row>
    <row r="105" spans="1:53"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row>
    <row r="106" spans="1:53"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row>
    <row r="107" spans="1:53"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row>
    <row r="108" spans="1:53"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row>
    <row r="109" spans="1:53"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row>
    <row r="110" spans="1:53"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row>
    <row r="111" spans="1:53"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row>
    <row r="112" spans="1:53"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row>
    <row r="113" spans="1:53"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row>
    <row r="114" spans="1:53"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row>
    <row r="115" spans="1:53"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row>
    <row r="116" spans="1:53"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row>
    <row r="117" spans="1:53"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row>
    <row r="118" spans="1:53"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row>
    <row r="119" spans="1:53"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row>
    <row r="120" spans="1:53"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row>
    <row r="121" spans="1:53"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row>
    <row r="122" spans="1:53"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row>
    <row r="123" spans="1:53"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row>
    <row r="124" spans="1:53"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row>
    <row r="125" spans="1:53"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row>
    <row r="126" spans="1:53"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row>
    <row r="127" spans="1:53"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row>
    <row r="128" spans="1:53"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row>
    <row r="129" spans="1:53"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row>
    <row r="130" spans="1:53"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row>
    <row r="131" spans="1:53"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row>
    <row r="132" spans="1:53"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row>
    <row r="133" spans="1:53"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row>
    <row r="134" spans="1:53"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row>
    <row r="135" spans="1:53"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row>
    <row r="136" spans="1:53"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row>
    <row r="137" spans="1:53"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row>
    <row r="138" spans="1:53"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row>
    <row r="139" spans="1:53"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row>
    <row r="140" spans="1:53"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row>
    <row r="141" spans="1:53"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row>
    <row r="142" spans="1:53"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row>
    <row r="143" spans="1:53"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row>
    <row r="144" spans="1:53"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row>
    <row r="145" spans="1:53"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row>
    <row r="146" spans="1:53"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row>
    <row r="147" spans="1:53"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row>
    <row r="148" spans="1:53"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row>
    <row r="149" spans="1:53"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row>
    <row r="150" spans="1:53"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row>
    <row r="151" spans="1:53"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row>
    <row r="152" spans="1:53"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row>
    <row r="153" spans="1:53"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row>
    <row r="154" spans="1:53"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row>
    <row r="155" spans="1:53"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row>
    <row r="156" spans="1:53"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row>
    <row r="157" spans="1:53"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row>
    <row r="158" spans="1:53"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row>
    <row r="159" spans="1:53"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row>
    <row r="160" spans="1:53"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row>
    <row r="161" spans="1:53"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row>
    <row r="162" spans="1:53"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row>
    <row r="163" spans="1:53"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row>
    <row r="164" spans="1:53"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row>
    <row r="165" spans="1:53"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row>
    <row r="166" spans="1:53"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row>
    <row r="167" spans="1:53"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row>
    <row r="168" spans="1:53"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row>
    <row r="169" spans="1:53"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row>
    <row r="170" spans="1:53"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row>
    <row r="171" spans="1:53"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row>
    <row r="172" spans="1:53"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row>
    <row r="173" spans="1:53"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row>
    <row r="174" spans="1:53"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row>
    <row r="175" spans="1:53"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row>
    <row r="176" spans="1:53"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row>
    <row r="177" spans="1:53"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row>
    <row r="178" spans="1:53"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row>
    <row r="179" spans="1:53"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row>
    <row r="180" spans="1:53"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row>
    <row r="181" spans="1:53"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row>
    <row r="182" spans="1:53"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row>
    <row r="183" spans="1:53"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row>
    <row r="184" spans="1:53"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row>
    <row r="185" spans="1:53"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row>
    <row r="186" spans="1:53"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row>
    <row r="187" spans="1:53"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row>
    <row r="188" spans="1:53"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row>
    <row r="189" spans="1:53"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row>
    <row r="190" spans="1:53"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row>
    <row r="191" spans="1:53"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row>
    <row r="192" spans="1:53"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row>
    <row r="193" spans="1:53"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row>
    <row r="194" spans="1:53"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row>
    <row r="195" spans="1:53"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row>
    <row r="196" spans="1:53"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row>
    <row r="197" spans="1:53"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row>
    <row r="198" spans="1:53"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row>
    <row r="199" spans="1:53"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row>
    <row r="200" spans="1:53"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row>
    <row r="201" spans="1:53"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row>
    <row r="202" spans="1:53"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row>
    <row r="203" spans="1:53"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row>
    <row r="204" spans="1:53"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row>
    <row r="205" spans="1:53"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row>
    <row r="206" spans="1:53"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row>
    <row r="207" spans="1:53"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row>
    <row r="208" spans="1:53"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row>
    <row r="209" spans="1:53"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row>
    <row r="210" spans="1:53"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row>
    <row r="211" spans="1:53"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row>
    <row r="212" spans="1:53"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row>
    <row r="213" spans="1:53"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row>
    <row r="214" spans="1:53"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row>
    <row r="215" spans="1:53"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row>
    <row r="216" spans="1:53"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row>
    <row r="217" spans="1:53"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row>
    <row r="218" spans="1:53"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row>
    <row r="219" spans="1:53"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row>
    <row r="220" spans="1:53"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row>
    <row r="221" spans="1:53"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row>
    <row r="222" spans="1:53"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row>
    <row r="223" spans="1:53"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row>
    <row r="224" spans="1:53"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row>
    <row r="225" spans="1:53"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row>
    <row r="226" spans="1:53"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row>
    <row r="227" spans="1:53"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row>
    <row r="228" spans="1:53"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row>
    <row r="229" spans="1:53"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row>
    <row r="230" spans="1:53"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row>
    <row r="231" spans="1:53"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row>
    <row r="232" spans="1:53"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row>
    <row r="233" spans="1:5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row>
    <row r="234" spans="1:53"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row>
    <row r="235" spans="1:53"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row>
    <row r="236" spans="1:53"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row>
    <row r="237" spans="1:53"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row>
    <row r="238" spans="1:53"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row>
    <row r="239" spans="1:53"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row>
    <row r="240" spans="1:53"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row>
    <row r="241" spans="1:53"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row>
    <row r="242" spans="1:53"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row>
    <row r="243" spans="1:5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row>
    <row r="244" spans="1:53"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row>
    <row r="245" spans="1:53"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row>
    <row r="246" spans="1:53"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row>
    <row r="247" spans="1:53"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row>
    <row r="248" spans="1:53"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row>
    <row r="249" spans="1:53"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row>
    <row r="250" spans="1:53"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row>
    <row r="251" spans="1:53"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row>
    <row r="252" spans="1:53"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row>
    <row r="253" spans="1:53" ht="15.75" customHeight="1"/>
    <row r="254" spans="1:53" ht="15.75" customHeight="1"/>
    <row r="255" spans="1:53" ht="15.75" customHeight="1"/>
    <row r="256" spans="1:53"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I1:AM1"/>
    <mergeCell ref="AN1:AX1"/>
    <mergeCell ref="AY1:BA1"/>
  </mergeCells>
  <hyperlinks>
    <hyperlink ref="AE1" r:id="rId1" xr:uid="{00000000-0004-0000-0D00-000000000000}"/>
    <hyperlink ref="A3" r:id="rId2" xr:uid="{00000000-0004-0000-0D00-000001000000}"/>
    <hyperlink ref="A4" r:id="rId3" xr:uid="{00000000-0004-0000-0D00-000002000000}"/>
    <hyperlink ref="A5" r:id="rId4" xr:uid="{00000000-0004-0000-0D00-000003000000}"/>
    <hyperlink ref="A6" r:id="rId5" xr:uid="{00000000-0004-0000-0D00-000004000000}"/>
    <hyperlink ref="A7" r:id="rId6" xr:uid="{00000000-0004-0000-0D00-000005000000}"/>
    <hyperlink ref="A8" r:id="rId7" xr:uid="{00000000-0004-0000-0D00-000006000000}"/>
    <hyperlink ref="A9" r:id="rId8" xr:uid="{00000000-0004-0000-0D00-000007000000}"/>
    <hyperlink ref="A10" r:id="rId9" xr:uid="{00000000-0004-0000-0D00-000008000000}"/>
    <hyperlink ref="A11" r:id="rId10" xr:uid="{00000000-0004-0000-0D00-000009000000}"/>
    <hyperlink ref="A12" r:id="rId11" xr:uid="{00000000-0004-0000-0D00-00000A000000}"/>
    <hyperlink ref="A13" r:id="rId12" xr:uid="{00000000-0004-0000-0D00-00000B000000}"/>
    <hyperlink ref="A14" r:id="rId13" xr:uid="{00000000-0004-0000-0D00-00000C000000}"/>
    <hyperlink ref="A15" r:id="rId14" xr:uid="{00000000-0004-0000-0D00-00000D000000}"/>
    <hyperlink ref="A16" r:id="rId15" xr:uid="{00000000-0004-0000-0D00-00000E000000}"/>
    <hyperlink ref="A17" r:id="rId16" xr:uid="{00000000-0004-0000-0D00-00000F000000}"/>
    <hyperlink ref="A18" r:id="rId17" xr:uid="{00000000-0004-0000-0D00-000010000000}"/>
    <hyperlink ref="A19" r:id="rId18" xr:uid="{00000000-0004-0000-0D00-000011000000}"/>
    <hyperlink ref="A20" r:id="rId19" xr:uid="{00000000-0004-0000-0D00-000012000000}"/>
    <hyperlink ref="A21" r:id="rId20" xr:uid="{00000000-0004-0000-0D00-000013000000}"/>
    <hyperlink ref="A22" r:id="rId21" xr:uid="{00000000-0004-0000-0D00-000014000000}"/>
    <hyperlink ref="A23" r:id="rId22" xr:uid="{00000000-0004-0000-0D00-000015000000}"/>
    <hyperlink ref="A24" r:id="rId23" xr:uid="{00000000-0004-0000-0D00-000016000000}"/>
    <hyperlink ref="A25" r:id="rId24" xr:uid="{00000000-0004-0000-0D00-000017000000}"/>
    <hyperlink ref="A26" r:id="rId25" xr:uid="{00000000-0004-0000-0D00-000018000000}"/>
    <hyperlink ref="A27" r:id="rId26" xr:uid="{00000000-0004-0000-0D00-000019000000}"/>
    <hyperlink ref="A28" r:id="rId27" xr:uid="{00000000-0004-0000-0D00-00001A000000}"/>
    <hyperlink ref="A29" r:id="rId28" xr:uid="{00000000-0004-0000-0D00-00001B000000}"/>
    <hyperlink ref="A30" r:id="rId29" xr:uid="{00000000-0004-0000-0D00-00001C000000}"/>
    <hyperlink ref="A31" r:id="rId30" xr:uid="{00000000-0004-0000-0D00-00001D000000}"/>
    <hyperlink ref="A32" r:id="rId31" xr:uid="{00000000-0004-0000-0D00-00001E000000}"/>
    <hyperlink ref="A33" r:id="rId32" xr:uid="{00000000-0004-0000-0D00-00001F000000}"/>
    <hyperlink ref="A34" r:id="rId33" xr:uid="{00000000-0004-0000-0D00-000020000000}"/>
    <hyperlink ref="A35" r:id="rId34" xr:uid="{00000000-0004-0000-0D00-000021000000}"/>
    <hyperlink ref="A36" r:id="rId35" xr:uid="{00000000-0004-0000-0D00-000022000000}"/>
    <hyperlink ref="A37" r:id="rId36" xr:uid="{00000000-0004-0000-0D00-000023000000}"/>
    <hyperlink ref="A38" r:id="rId37" xr:uid="{00000000-0004-0000-0D00-000024000000}"/>
    <hyperlink ref="A39" r:id="rId38" xr:uid="{00000000-0004-0000-0D00-000025000000}"/>
    <hyperlink ref="A40" r:id="rId39" xr:uid="{00000000-0004-0000-0D00-000026000000}"/>
    <hyperlink ref="A41" r:id="rId40" xr:uid="{00000000-0004-0000-0D00-000027000000}"/>
    <hyperlink ref="A42" r:id="rId41" xr:uid="{00000000-0004-0000-0D00-000028000000}"/>
    <hyperlink ref="A43" r:id="rId42" xr:uid="{00000000-0004-0000-0D00-000029000000}"/>
    <hyperlink ref="A44" r:id="rId43" xr:uid="{00000000-0004-0000-0D00-00002A000000}"/>
    <hyperlink ref="A45" r:id="rId44" xr:uid="{00000000-0004-0000-0D00-00002B000000}"/>
    <hyperlink ref="A46" r:id="rId45" xr:uid="{00000000-0004-0000-0D00-00002C000000}"/>
    <hyperlink ref="A47" r:id="rId46" xr:uid="{00000000-0004-0000-0D00-00002D000000}"/>
    <hyperlink ref="A48" r:id="rId47" xr:uid="{00000000-0004-0000-0D00-00002E000000}"/>
    <hyperlink ref="A49" r:id="rId48" xr:uid="{00000000-0004-0000-0D00-00002F000000}"/>
    <hyperlink ref="A50" r:id="rId49" xr:uid="{00000000-0004-0000-0D00-000030000000}"/>
    <hyperlink ref="A51" r:id="rId50" xr:uid="{00000000-0004-0000-0D00-000031000000}"/>
    <hyperlink ref="A52" r:id="rId51" xr:uid="{00000000-0004-0000-0D00-000032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AC1000"/>
  <sheetViews>
    <sheetView workbookViewId="0">
      <pane xSplit="2" ySplit="3" topLeftCell="C4" activePane="bottomRight" state="frozen"/>
      <selection pane="topRight" activeCell="C1" sqref="C1"/>
      <selection pane="bottomLeft" activeCell="A4" sqref="A4"/>
      <selection pane="bottomRight" activeCell="C4" sqref="C4"/>
    </sheetView>
  </sheetViews>
  <sheetFormatPr baseColWidth="10" defaultColWidth="12.6640625" defaultRowHeight="15" customHeight="1"/>
  <sheetData>
    <row r="1" spans="1:29" ht="29.25" customHeight="1">
      <c r="A1" s="7" t="s">
        <v>31</v>
      </c>
      <c r="B1" s="7"/>
      <c r="C1" s="45" t="s">
        <v>370</v>
      </c>
      <c r="D1" s="45" t="s">
        <v>371</v>
      </c>
      <c r="E1" s="45" t="s">
        <v>372</v>
      </c>
      <c r="F1" s="45" t="s">
        <v>373</v>
      </c>
      <c r="G1" s="45" t="s">
        <v>374</v>
      </c>
      <c r="H1" s="45" t="s">
        <v>375</v>
      </c>
      <c r="I1" s="45" t="s">
        <v>376</v>
      </c>
      <c r="J1" s="45" t="s">
        <v>377</v>
      </c>
      <c r="K1" s="45" t="s">
        <v>378</v>
      </c>
      <c r="L1" s="45" t="s">
        <v>379</v>
      </c>
      <c r="M1" s="45" t="s">
        <v>380</v>
      </c>
      <c r="N1" s="45" t="s">
        <v>381</v>
      </c>
      <c r="O1" s="205" t="s">
        <v>382</v>
      </c>
      <c r="P1" s="205" t="s">
        <v>383</v>
      </c>
      <c r="Q1" s="205" t="s">
        <v>384</v>
      </c>
      <c r="R1" s="205" t="s">
        <v>385</v>
      </c>
      <c r="S1" s="205" t="s">
        <v>386</v>
      </c>
      <c r="T1" s="205" t="s">
        <v>387</v>
      </c>
      <c r="U1" s="205" t="s">
        <v>388</v>
      </c>
      <c r="V1" s="205" t="s">
        <v>389</v>
      </c>
      <c r="W1" s="45" t="s">
        <v>390</v>
      </c>
      <c r="X1" s="7"/>
      <c r="Y1" s="7"/>
      <c r="Z1" s="7"/>
      <c r="AA1" s="7"/>
      <c r="AB1" s="7"/>
      <c r="AC1" s="7"/>
    </row>
    <row r="2" spans="1:29" ht="27" customHeight="1">
      <c r="A2" s="7"/>
      <c r="B2" s="45"/>
      <c r="C2" s="45"/>
      <c r="D2" s="45"/>
      <c r="E2" s="45"/>
      <c r="F2" s="45"/>
      <c r="G2" s="45" t="s">
        <v>391</v>
      </c>
      <c r="H2" s="45" t="s">
        <v>391</v>
      </c>
      <c r="I2" s="45" t="s">
        <v>391</v>
      </c>
      <c r="J2" s="45" t="s">
        <v>391</v>
      </c>
      <c r="K2" s="45" t="s">
        <v>391</v>
      </c>
      <c r="L2" s="45" t="s">
        <v>391</v>
      </c>
      <c r="M2" s="45" t="s">
        <v>391</v>
      </c>
      <c r="N2" s="45" t="s">
        <v>391</v>
      </c>
      <c r="O2" s="45" t="s">
        <v>391</v>
      </c>
      <c r="P2" s="45" t="s">
        <v>391</v>
      </c>
      <c r="Q2" s="45" t="s">
        <v>391</v>
      </c>
      <c r="R2" s="45" t="s">
        <v>391</v>
      </c>
      <c r="S2" s="45" t="s">
        <v>391</v>
      </c>
      <c r="T2" s="45" t="s">
        <v>391</v>
      </c>
      <c r="U2" s="45" t="s">
        <v>391</v>
      </c>
      <c r="V2" s="45" t="s">
        <v>391</v>
      </c>
      <c r="W2" s="45" t="s">
        <v>391</v>
      </c>
      <c r="X2" s="7"/>
      <c r="Y2" s="7"/>
      <c r="Z2" s="7"/>
      <c r="AA2" s="7"/>
      <c r="AB2" s="7"/>
      <c r="AC2" s="7"/>
    </row>
    <row r="3" spans="1:29" ht="32.25" customHeight="1">
      <c r="A3" s="7"/>
      <c r="B3" s="45"/>
      <c r="C3" s="45" t="s">
        <v>392</v>
      </c>
      <c r="D3" s="45" t="s">
        <v>392</v>
      </c>
      <c r="E3" s="45" t="s">
        <v>392</v>
      </c>
      <c r="F3" s="45" t="s">
        <v>392</v>
      </c>
      <c r="G3" s="7" t="s">
        <v>393</v>
      </c>
      <c r="H3" s="7" t="s">
        <v>393</v>
      </c>
      <c r="I3" s="7" t="s">
        <v>393</v>
      </c>
      <c r="J3" s="7" t="s">
        <v>393</v>
      </c>
      <c r="K3" s="7" t="s">
        <v>393</v>
      </c>
      <c r="L3" s="7" t="s">
        <v>393</v>
      </c>
      <c r="M3" s="7" t="s">
        <v>393</v>
      </c>
      <c r="N3" s="7" t="s">
        <v>393</v>
      </c>
      <c r="O3" s="7" t="s">
        <v>393</v>
      </c>
      <c r="P3" s="7" t="s">
        <v>393</v>
      </c>
      <c r="Q3" s="7" t="s">
        <v>393</v>
      </c>
      <c r="R3" s="7" t="s">
        <v>393</v>
      </c>
      <c r="S3" s="7" t="s">
        <v>393</v>
      </c>
      <c r="T3" s="7" t="s">
        <v>393</v>
      </c>
      <c r="U3" s="7" t="s">
        <v>393</v>
      </c>
      <c r="V3" s="7" t="s">
        <v>393</v>
      </c>
      <c r="W3" s="7" t="s">
        <v>393</v>
      </c>
      <c r="X3" s="7"/>
      <c r="Y3" s="7"/>
      <c r="Z3" s="7"/>
      <c r="AA3" s="7"/>
      <c r="AB3" s="7"/>
      <c r="AC3" s="7"/>
    </row>
    <row r="4" spans="1:29" ht="15.75" customHeight="1">
      <c r="A4" s="7" t="s">
        <v>192</v>
      </c>
      <c r="B4" s="7" t="s">
        <v>40</v>
      </c>
      <c r="C4" s="7">
        <v>8.02</v>
      </c>
      <c r="D4" s="7">
        <v>7.42</v>
      </c>
      <c r="E4" s="7">
        <v>7.82</v>
      </c>
      <c r="F4" s="7">
        <v>7.02</v>
      </c>
      <c r="G4" s="7">
        <v>2267</v>
      </c>
      <c r="H4" s="7">
        <v>1255</v>
      </c>
      <c r="I4" s="7">
        <v>1663</v>
      </c>
      <c r="J4" s="7">
        <v>1099</v>
      </c>
      <c r="K4" s="7">
        <v>973</v>
      </c>
      <c r="L4" s="7">
        <v>689</v>
      </c>
      <c r="M4" s="7">
        <v>671</v>
      </c>
      <c r="N4" s="7">
        <v>7.7</v>
      </c>
      <c r="O4" s="7">
        <v>136</v>
      </c>
      <c r="P4" s="7">
        <v>69</v>
      </c>
      <c r="Q4" s="7">
        <v>73</v>
      </c>
      <c r="R4" s="7">
        <v>50</v>
      </c>
      <c r="S4" s="7">
        <v>41</v>
      </c>
      <c r="T4" s="7">
        <v>58</v>
      </c>
      <c r="U4" s="7">
        <v>60</v>
      </c>
      <c r="V4" s="7">
        <v>83</v>
      </c>
      <c r="W4" s="7">
        <v>0.45</v>
      </c>
      <c r="X4" s="7"/>
      <c r="Y4" s="7"/>
      <c r="Z4" s="7"/>
      <c r="AA4" s="7"/>
      <c r="AB4" s="7"/>
      <c r="AC4" s="7"/>
    </row>
    <row r="5" spans="1:29" ht="15.75" customHeight="1">
      <c r="A5" s="7" t="s">
        <v>193</v>
      </c>
      <c r="B5" s="7" t="s">
        <v>194</v>
      </c>
      <c r="C5" s="7">
        <v>8.18</v>
      </c>
      <c r="D5" s="7">
        <v>7.42</v>
      </c>
      <c r="E5" s="7">
        <v>10.08</v>
      </c>
      <c r="F5" s="7">
        <v>9.02</v>
      </c>
      <c r="G5" s="7">
        <v>1099</v>
      </c>
      <c r="H5" s="7">
        <v>1255</v>
      </c>
      <c r="I5" s="7">
        <v>1890</v>
      </c>
      <c r="J5" s="7">
        <v>1263</v>
      </c>
      <c r="K5" s="7">
        <v>1119</v>
      </c>
      <c r="L5" s="7">
        <v>689</v>
      </c>
      <c r="M5" s="7">
        <v>672</v>
      </c>
      <c r="N5" s="7">
        <v>7.7</v>
      </c>
      <c r="O5" s="7">
        <v>84</v>
      </c>
      <c r="P5" s="7">
        <v>69</v>
      </c>
      <c r="Q5" s="7">
        <v>59</v>
      </c>
      <c r="R5" s="7">
        <v>41</v>
      </c>
      <c r="S5" s="7">
        <v>33</v>
      </c>
      <c r="T5" s="7">
        <v>59</v>
      </c>
      <c r="U5" s="7">
        <v>60</v>
      </c>
      <c r="V5" s="7">
        <v>69</v>
      </c>
      <c r="W5" s="7">
        <v>0.45</v>
      </c>
      <c r="X5" s="7"/>
      <c r="Y5" s="7"/>
      <c r="Z5" s="7"/>
      <c r="AA5" s="7"/>
      <c r="AB5" s="7"/>
      <c r="AC5" s="7"/>
    </row>
    <row r="6" spans="1:29" ht="15.75" customHeight="1">
      <c r="A6" s="7" t="s">
        <v>195</v>
      </c>
      <c r="B6" s="7" t="s">
        <v>42</v>
      </c>
      <c r="C6" s="7">
        <v>10.55</v>
      </c>
      <c r="D6" s="7">
        <v>7.42</v>
      </c>
      <c r="E6" s="7">
        <v>10.41</v>
      </c>
      <c r="F6" s="7">
        <v>9.02</v>
      </c>
      <c r="G6" s="7">
        <v>2923</v>
      </c>
      <c r="H6" s="7">
        <v>1255</v>
      </c>
      <c r="I6" s="7">
        <v>1890</v>
      </c>
      <c r="J6" s="7">
        <v>1251</v>
      </c>
      <c r="K6" s="7">
        <v>1119</v>
      </c>
      <c r="L6" s="7">
        <v>689</v>
      </c>
      <c r="M6" s="7">
        <v>672</v>
      </c>
      <c r="N6" s="7">
        <v>7.7</v>
      </c>
      <c r="O6" s="7">
        <v>162</v>
      </c>
      <c r="P6" s="7">
        <v>69</v>
      </c>
      <c r="Q6" s="7">
        <v>59</v>
      </c>
      <c r="R6" s="7">
        <v>41</v>
      </c>
      <c r="S6" s="7">
        <v>33</v>
      </c>
      <c r="T6" s="7">
        <v>59</v>
      </c>
      <c r="U6" s="7">
        <v>60</v>
      </c>
      <c r="V6" s="7">
        <v>69</v>
      </c>
      <c r="W6" s="7">
        <v>0.45</v>
      </c>
      <c r="X6" s="7"/>
      <c r="Y6" s="7"/>
      <c r="Z6" s="7"/>
      <c r="AA6" s="7"/>
      <c r="AB6" s="7"/>
      <c r="AC6" s="7"/>
    </row>
    <row r="7" spans="1:29" ht="15.75" customHeight="1">
      <c r="A7" s="7" t="s">
        <v>196</v>
      </c>
      <c r="B7" s="7" t="s">
        <v>41</v>
      </c>
      <c r="C7" s="7">
        <v>7.11</v>
      </c>
      <c r="D7" s="7">
        <v>8.2200000000000006</v>
      </c>
      <c r="E7" s="7">
        <v>7.87</v>
      </c>
      <c r="F7" s="7">
        <v>7</v>
      </c>
      <c r="G7" s="7">
        <v>2054</v>
      </c>
      <c r="H7" s="7">
        <v>1255</v>
      </c>
      <c r="I7" s="7">
        <v>1663</v>
      </c>
      <c r="J7" s="7">
        <v>1095</v>
      </c>
      <c r="K7" s="7">
        <v>973</v>
      </c>
      <c r="L7" s="7">
        <v>689</v>
      </c>
      <c r="M7" s="7">
        <v>671</v>
      </c>
      <c r="N7" s="7">
        <v>7.7</v>
      </c>
      <c r="O7" s="7">
        <v>125</v>
      </c>
      <c r="P7" s="7">
        <v>69</v>
      </c>
      <c r="Q7" s="7">
        <v>73</v>
      </c>
      <c r="R7" s="7">
        <v>50</v>
      </c>
      <c r="S7" s="7">
        <v>41</v>
      </c>
      <c r="T7" s="7">
        <v>58</v>
      </c>
      <c r="U7" s="7">
        <v>60</v>
      </c>
      <c r="V7" s="7">
        <v>83</v>
      </c>
      <c r="W7" s="7">
        <v>0.45</v>
      </c>
      <c r="X7" s="7"/>
      <c r="Y7" s="7"/>
      <c r="Z7" s="7"/>
      <c r="AA7" s="7"/>
      <c r="AB7" s="7"/>
      <c r="AC7" s="7"/>
    </row>
    <row r="8" spans="1:29" ht="15.75" customHeight="1">
      <c r="A8" s="7" t="s">
        <v>197</v>
      </c>
      <c r="B8" s="7" t="s">
        <v>37</v>
      </c>
      <c r="C8" s="7">
        <v>8.98</v>
      </c>
      <c r="D8" s="7">
        <v>7.42</v>
      </c>
      <c r="E8" s="7">
        <v>7.92</v>
      </c>
      <c r="F8" s="7">
        <v>6.85</v>
      </c>
      <c r="G8" s="7">
        <v>2861</v>
      </c>
      <c r="H8" s="7">
        <v>1255</v>
      </c>
      <c r="I8" s="7">
        <v>1890</v>
      </c>
      <c r="J8" s="7">
        <v>1222</v>
      </c>
      <c r="K8" s="7">
        <v>1119</v>
      </c>
      <c r="L8" s="7">
        <v>689</v>
      </c>
      <c r="M8" s="7">
        <v>671</v>
      </c>
      <c r="N8" s="7">
        <v>7.7</v>
      </c>
      <c r="O8" s="7">
        <v>159</v>
      </c>
      <c r="P8" s="7">
        <v>69</v>
      </c>
      <c r="Q8" s="7">
        <v>59</v>
      </c>
      <c r="R8" s="7">
        <v>39</v>
      </c>
      <c r="S8" s="7">
        <v>33</v>
      </c>
      <c r="T8" s="7">
        <v>59</v>
      </c>
      <c r="U8" s="7">
        <v>60</v>
      </c>
      <c r="V8" s="7">
        <v>69</v>
      </c>
      <c r="W8" s="7">
        <v>0.45</v>
      </c>
      <c r="X8" s="7"/>
      <c r="Y8" s="7"/>
      <c r="Z8" s="7"/>
      <c r="AA8" s="7"/>
      <c r="AB8" s="7"/>
      <c r="AC8" s="7"/>
    </row>
    <row r="9" spans="1:29" ht="15.75" customHeight="1">
      <c r="A9" s="7" t="s">
        <v>198</v>
      </c>
      <c r="B9" s="7" t="s">
        <v>43</v>
      </c>
      <c r="C9" s="7">
        <v>9.11</v>
      </c>
      <c r="D9" s="7">
        <v>7.42</v>
      </c>
      <c r="E9" s="7">
        <v>7.65</v>
      </c>
      <c r="F9" s="7">
        <v>6.46</v>
      </c>
      <c r="G9" s="7">
        <v>3040</v>
      </c>
      <c r="H9" s="7">
        <v>1255</v>
      </c>
      <c r="I9" s="7">
        <v>1890</v>
      </c>
      <c r="J9" s="7">
        <v>1201</v>
      </c>
      <c r="K9" s="7">
        <v>1119</v>
      </c>
      <c r="L9" s="7">
        <v>689</v>
      </c>
      <c r="M9" s="7">
        <v>671</v>
      </c>
      <c r="N9" s="7">
        <v>7.7</v>
      </c>
      <c r="O9" s="7">
        <v>167</v>
      </c>
      <c r="P9" s="7">
        <v>69</v>
      </c>
      <c r="Q9" s="7">
        <v>59</v>
      </c>
      <c r="R9" s="7">
        <v>38</v>
      </c>
      <c r="S9" s="7">
        <v>33</v>
      </c>
      <c r="T9" s="7">
        <v>59</v>
      </c>
      <c r="U9" s="7">
        <v>60</v>
      </c>
      <c r="V9" s="7">
        <v>69</v>
      </c>
      <c r="W9" s="7">
        <v>0.45</v>
      </c>
      <c r="X9" s="7"/>
      <c r="Y9" s="7"/>
      <c r="Z9" s="7"/>
      <c r="AA9" s="7"/>
      <c r="AB9" s="7"/>
      <c r="AC9" s="7"/>
    </row>
    <row r="10" spans="1:29" ht="15.75" customHeight="1">
      <c r="A10" s="7" t="s">
        <v>199</v>
      </c>
      <c r="B10" s="7" t="s">
        <v>44</v>
      </c>
      <c r="C10" s="7">
        <v>8.2200000000000006</v>
      </c>
      <c r="D10" s="7">
        <v>6.7</v>
      </c>
      <c r="E10" s="7">
        <v>7.66</v>
      </c>
      <c r="F10" s="7">
        <v>6.9</v>
      </c>
      <c r="G10" s="7">
        <v>2810</v>
      </c>
      <c r="H10" s="7">
        <v>1255</v>
      </c>
      <c r="I10" s="7">
        <v>1672</v>
      </c>
      <c r="J10" s="7">
        <v>1092</v>
      </c>
      <c r="K10" s="7">
        <v>979</v>
      </c>
      <c r="L10" s="7">
        <v>689</v>
      </c>
      <c r="M10" s="7">
        <v>671</v>
      </c>
      <c r="N10" s="7">
        <v>7.7</v>
      </c>
      <c r="O10" s="7">
        <v>157</v>
      </c>
      <c r="P10" s="7">
        <v>69</v>
      </c>
      <c r="Q10" s="7">
        <v>74</v>
      </c>
      <c r="R10" s="7">
        <v>50</v>
      </c>
      <c r="S10" s="7">
        <v>42</v>
      </c>
      <c r="T10" s="7">
        <v>58</v>
      </c>
      <c r="U10" s="7">
        <v>60</v>
      </c>
      <c r="V10" s="7">
        <v>84</v>
      </c>
      <c r="W10" s="7">
        <v>0.45</v>
      </c>
      <c r="X10" s="7"/>
      <c r="Y10" s="7"/>
      <c r="Z10" s="7"/>
      <c r="AA10" s="7"/>
      <c r="AB10" s="7"/>
      <c r="AC10" s="7"/>
    </row>
    <row r="11" spans="1:29" ht="15.75" customHeight="1">
      <c r="A11" s="7" t="s">
        <v>200</v>
      </c>
      <c r="B11" s="7" t="s">
        <v>45</v>
      </c>
      <c r="C11" s="7">
        <v>7.6</v>
      </c>
      <c r="D11" s="7">
        <v>6.7</v>
      </c>
      <c r="E11" s="7">
        <v>7.89</v>
      </c>
      <c r="F11" s="7">
        <v>6.9</v>
      </c>
      <c r="G11" s="7">
        <v>2476</v>
      </c>
      <c r="H11" s="7">
        <v>1255</v>
      </c>
      <c r="I11" s="7">
        <v>1672</v>
      </c>
      <c r="J11" s="7">
        <v>1093</v>
      </c>
      <c r="K11" s="7">
        <v>979</v>
      </c>
      <c r="L11" s="7">
        <v>689</v>
      </c>
      <c r="M11" s="7">
        <v>671</v>
      </c>
      <c r="N11" s="7">
        <v>7.7</v>
      </c>
      <c r="O11" s="7">
        <v>143</v>
      </c>
      <c r="P11" s="7">
        <v>69</v>
      </c>
      <c r="Q11" s="7">
        <v>74</v>
      </c>
      <c r="R11" s="7">
        <v>50</v>
      </c>
      <c r="S11" s="7">
        <v>42</v>
      </c>
      <c r="T11" s="7">
        <v>58</v>
      </c>
      <c r="U11" s="7">
        <v>60</v>
      </c>
      <c r="V11" s="7">
        <v>84</v>
      </c>
      <c r="W11" s="7">
        <v>0.45</v>
      </c>
      <c r="X11" s="7"/>
      <c r="Y11" s="7"/>
      <c r="Z11" s="7"/>
      <c r="AA11" s="7"/>
      <c r="AB11" s="7"/>
      <c r="AC11" s="7"/>
    </row>
    <row r="12" spans="1:29" ht="15.75" customHeight="1">
      <c r="A12" s="7" t="s">
        <v>201</v>
      </c>
      <c r="B12" s="7" t="s">
        <v>46</v>
      </c>
      <c r="C12" s="7">
        <v>8.4</v>
      </c>
      <c r="D12" s="7">
        <v>7.42</v>
      </c>
      <c r="E12" s="7">
        <v>7.77</v>
      </c>
      <c r="F12" s="7">
        <v>7.02</v>
      </c>
      <c r="G12" s="7">
        <v>2657</v>
      </c>
      <c r="H12" s="7">
        <v>1255</v>
      </c>
      <c r="I12" s="7">
        <v>1663</v>
      </c>
      <c r="J12" s="7">
        <v>1107</v>
      </c>
      <c r="K12" s="7">
        <v>973</v>
      </c>
      <c r="L12" s="7">
        <v>689</v>
      </c>
      <c r="M12" s="7">
        <v>671</v>
      </c>
      <c r="N12" s="7">
        <v>7.7</v>
      </c>
      <c r="O12" s="7">
        <v>152</v>
      </c>
      <c r="P12" s="7">
        <v>69</v>
      </c>
      <c r="Q12" s="7">
        <v>73</v>
      </c>
      <c r="R12" s="7">
        <v>51</v>
      </c>
      <c r="S12" s="7">
        <v>41</v>
      </c>
      <c r="T12" s="7">
        <v>58</v>
      </c>
      <c r="U12" s="7">
        <v>60</v>
      </c>
      <c r="V12" s="7">
        <v>83</v>
      </c>
      <c r="W12" s="7">
        <v>0.45</v>
      </c>
      <c r="X12" s="7"/>
      <c r="Y12" s="7"/>
      <c r="Z12" s="7"/>
      <c r="AA12" s="7"/>
      <c r="AB12" s="7"/>
      <c r="AC12" s="7"/>
    </row>
    <row r="13" spans="1:29" ht="15.75" customHeight="1">
      <c r="A13" s="7" t="s">
        <v>202</v>
      </c>
      <c r="B13" s="7" t="s">
        <v>47</v>
      </c>
      <c r="C13" s="7">
        <v>8.8000000000000007</v>
      </c>
      <c r="D13" s="7">
        <v>7.42</v>
      </c>
      <c r="E13" s="7">
        <v>7.89</v>
      </c>
      <c r="F13" s="7">
        <v>7.02</v>
      </c>
      <c r="G13" s="7">
        <v>2778</v>
      </c>
      <c r="H13" s="7">
        <v>1255</v>
      </c>
      <c r="I13" s="7">
        <v>1663</v>
      </c>
      <c r="J13" s="7">
        <v>1100</v>
      </c>
      <c r="K13" s="7">
        <v>973</v>
      </c>
      <c r="L13" s="7">
        <v>689</v>
      </c>
      <c r="M13" s="7">
        <v>671</v>
      </c>
      <c r="N13" s="7">
        <v>7.7</v>
      </c>
      <c r="O13" s="7">
        <v>158</v>
      </c>
      <c r="P13" s="7">
        <v>69</v>
      </c>
      <c r="Q13" s="7">
        <v>73</v>
      </c>
      <c r="R13" s="7">
        <v>50</v>
      </c>
      <c r="S13" s="7">
        <v>41</v>
      </c>
      <c r="T13" s="7">
        <v>58</v>
      </c>
      <c r="U13" s="7">
        <v>60</v>
      </c>
      <c r="V13" s="7">
        <v>83</v>
      </c>
      <c r="W13" s="7">
        <v>0.45</v>
      </c>
      <c r="X13" s="7"/>
      <c r="Y13" s="7"/>
      <c r="Z13" s="7"/>
      <c r="AA13" s="7"/>
      <c r="AB13" s="7"/>
      <c r="AC13" s="7"/>
    </row>
    <row r="14" spans="1:29" ht="15.75" customHeight="1">
      <c r="A14" s="7" t="s">
        <v>203</v>
      </c>
      <c r="B14" s="7" t="s">
        <v>204</v>
      </c>
      <c r="C14" s="7">
        <v>7.52</v>
      </c>
      <c r="D14" s="7">
        <v>7.42</v>
      </c>
      <c r="E14" s="7">
        <v>10.3</v>
      </c>
      <c r="F14" s="7">
        <v>9.02</v>
      </c>
      <c r="G14" s="7">
        <v>1099</v>
      </c>
      <c r="H14" s="7">
        <v>1255</v>
      </c>
      <c r="I14" s="7">
        <v>1890</v>
      </c>
      <c r="J14" s="7">
        <v>1257</v>
      </c>
      <c r="K14" s="7">
        <v>1119</v>
      </c>
      <c r="L14" s="7">
        <v>689</v>
      </c>
      <c r="M14" s="7">
        <v>671</v>
      </c>
      <c r="N14" s="7">
        <v>7.7</v>
      </c>
      <c r="O14" s="7">
        <v>84</v>
      </c>
      <c r="P14" s="7">
        <v>69</v>
      </c>
      <c r="Q14" s="7">
        <v>59</v>
      </c>
      <c r="R14" s="7">
        <v>41</v>
      </c>
      <c r="S14" s="7">
        <v>33</v>
      </c>
      <c r="T14" s="7">
        <v>58</v>
      </c>
      <c r="U14" s="7">
        <v>60</v>
      </c>
      <c r="V14" s="7">
        <v>69</v>
      </c>
      <c r="W14" s="7">
        <v>0.45</v>
      </c>
      <c r="X14" s="7"/>
      <c r="Y14" s="7"/>
      <c r="Z14" s="7"/>
      <c r="AA14" s="7"/>
      <c r="AB14" s="7"/>
      <c r="AC14" s="7"/>
    </row>
    <row r="15" spans="1:29" ht="15.75" customHeight="1">
      <c r="A15" s="7" t="s">
        <v>205</v>
      </c>
      <c r="B15" s="7" t="s">
        <v>49</v>
      </c>
      <c r="C15" s="7">
        <v>10.34</v>
      </c>
      <c r="D15" s="7">
        <v>7.42</v>
      </c>
      <c r="E15" s="7">
        <v>10.8</v>
      </c>
      <c r="F15" s="7">
        <v>9.02</v>
      </c>
      <c r="G15" s="7">
        <v>2968</v>
      </c>
      <c r="H15" s="7">
        <v>1255</v>
      </c>
      <c r="I15" s="7">
        <v>1890</v>
      </c>
      <c r="J15" s="7">
        <v>1226</v>
      </c>
      <c r="K15" s="7">
        <v>1119</v>
      </c>
      <c r="L15" s="7">
        <v>689</v>
      </c>
      <c r="M15" s="7">
        <v>671</v>
      </c>
      <c r="N15" s="7">
        <v>7.7</v>
      </c>
      <c r="O15" s="7">
        <v>164</v>
      </c>
      <c r="P15" s="7">
        <v>69</v>
      </c>
      <c r="Q15" s="7">
        <v>59</v>
      </c>
      <c r="R15" s="7">
        <v>39</v>
      </c>
      <c r="S15" s="7">
        <v>33</v>
      </c>
      <c r="T15" s="7">
        <v>59</v>
      </c>
      <c r="U15" s="7">
        <v>60</v>
      </c>
      <c r="V15" s="7">
        <v>69</v>
      </c>
      <c r="W15" s="7">
        <v>0.45</v>
      </c>
      <c r="X15" s="7"/>
      <c r="Y15" s="7"/>
      <c r="Z15" s="7"/>
      <c r="AA15" s="7"/>
      <c r="AB15" s="7"/>
      <c r="AC15" s="7"/>
    </row>
    <row r="16" spans="1:29" ht="15.75" customHeight="1">
      <c r="A16" s="7" t="s">
        <v>206</v>
      </c>
      <c r="B16" s="7" t="s">
        <v>50</v>
      </c>
      <c r="C16" s="7">
        <v>8.08</v>
      </c>
      <c r="D16" s="7">
        <v>7.42</v>
      </c>
      <c r="E16" s="7">
        <v>8.11</v>
      </c>
      <c r="F16" s="7">
        <v>6.91</v>
      </c>
      <c r="G16" s="7">
        <v>2697</v>
      </c>
      <c r="H16" s="7">
        <v>1255</v>
      </c>
      <c r="I16" s="7">
        <v>1587</v>
      </c>
      <c r="J16" s="7">
        <v>1016</v>
      </c>
      <c r="K16" s="7">
        <v>926</v>
      </c>
      <c r="L16" s="7">
        <v>689</v>
      </c>
      <c r="M16" s="7">
        <v>671</v>
      </c>
      <c r="N16" s="7">
        <v>7.7</v>
      </c>
      <c r="O16" s="7">
        <v>152</v>
      </c>
      <c r="P16" s="7">
        <v>69</v>
      </c>
      <c r="Q16" s="7">
        <v>75</v>
      </c>
      <c r="R16" s="7">
        <v>50</v>
      </c>
      <c r="S16" s="7">
        <v>43</v>
      </c>
      <c r="T16" s="7">
        <v>59</v>
      </c>
      <c r="U16" s="7">
        <v>60</v>
      </c>
      <c r="V16" s="7">
        <v>85</v>
      </c>
      <c r="W16" s="7">
        <v>0.45</v>
      </c>
      <c r="X16" s="7"/>
      <c r="Y16" s="7"/>
      <c r="Z16" s="7"/>
      <c r="AA16" s="7"/>
      <c r="AB16" s="7"/>
      <c r="AC16" s="7"/>
    </row>
    <row r="17" spans="1:29" ht="15.75" customHeight="1">
      <c r="A17" s="7" t="s">
        <v>207</v>
      </c>
      <c r="B17" s="7" t="s">
        <v>51</v>
      </c>
      <c r="C17" s="7">
        <v>8.49</v>
      </c>
      <c r="D17" s="7">
        <v>7.42</v>
      </c>
      <c r="E17" s="7">
        <v>8.01</v>
      </c>
      <c r="F17" s="7">
        <v>6.91</v>
      </c>
      <c r="G17" s="7">
        <v>2856</v>
      </c>
      <c r="H17" s="7">
        <v>1255</v>
      </c>
      <c r="I17" s="7">
        <v>1587</v>
      </c>
      <c r="J17" s="7">
        <v>1023</v>
      </c>
      <c r="K17" s="7">
        <v>926</v>
      </c>
      <c r="L17" s="7">
        <v>689</v>
      </c>
      <c r="M17" s="7">
        <v>671</v>
      </c>
      <c r="N17" s="7">
        <v>7.7</v>
      </c>
      <c r="O17" s="7">
        <v>159</v>
      </c>
      <c r="P17" s="7">
        <v>69</v>
      </c>
      <c r="Q17" s="7">
        <v>75</v>
      </c>
      <c r="R17" s="7">
        <v>50</v>
      </c>
      <c r="S17" s="7">
        <v>43</v>
      </c>
      <c r="T17" s="7">
        <v>59</v>
      </c>
      <c r="U17" s="7">
        <v>60</v>
      </c>
      <c r="V17" s="7">
        <v>85</v>
      </c>
      <c r="W17" s="7">
        <v>0.45</v>
      </c>
      <c r="X17" s="7"/>
      <c r="Y17" s="7"/>
      <c r="Z17" s="7"/>
      <c r="AA17" s="7"/>
      <c r="AB17" s="7"/>
      <c r="AC17" s="7"/>
    </row>
    <row r="18" spans="1:29" ht="15.75" customHeight="1">
      <c r="A18" s="7" t="s">
        <v>208</v>
      </c>
      <c r="B18" s="7" t="s">
        <v>48</v>
      </c>
      <c r="C18" s="7">
        <v>8.43</v>
      </c>
      <c r="D18" s="7">
        <v>7.42</v>
      </c>
      <c r="E18" s="7">
        <v>8.1999999999999993</v>
      </c>
      <c r="F18" s="7">
        <v>6.91</v>
      </c>
      <c r="G18" s="7">
        <v>2929</v>
      </c>
      <c r="H18" s="7">
        <v>1255</v>
      </c>
      <c r="I18" s="7">
        <v>1587</v>
      </c>
      <c r="J18" s="7">
        <v>991</v>
      </c>
      <c r="K18" s="7">
        <v>926</v>
      </c>
      <c r="L18" s="7">
        <v>689</v>
      </c>
      <c r="M18" s="7">
        <v>671</v>
      </c>
      <c r="N18" s="7">
        <v>7.7</v>
      </c>
      <c r="O18" s="7">
        <v>162</v>
      </c>
      <c r="P18" s="7">
        <v>69</v>
      </c>
      <c r="Q18" s="7">
        <v>75</v>
      </c>
      <c r="R18" s="7">
        <v>48</v>
      </c>
      <c r="S18" s="7">
        <v>43</v>
      </c>
      <c r="T18" s="7">
        <v>59</v>
      </c>
      <c r="U18" s="7">
        <v>60</v>
      </c>
      <c r="V18" s="7">
        <v>85</v>
      </c>
      <c r="W18" s="7">
        <v>0.45</v>
      </c>
      <c r="X18" s="7"/>
      <c r="Y18" s="7"/>
      <c r="Z18" s="7"/>
      <c r="AA18" s="7"/>
      <c r="AB18" s="7"/>
      <c r="AC18" s="7"/>
    </row>
    <row r="19" spans="1:29" ht="15.75" customHeight="1">
      <c r="A19" s="7" t="s">
        <v>209</v>
      </c>
      <c r="B19" s="7" t="s">
        <v>52</v>
      </c>
      <c r="C19" s="7">
        <v>8.35</v>
      </c>
      <c r="D19" s="7">
        <v>7.42</v>
      </c>
      <c r="E19" s="7">
        <v>7.68</v>
      </c>
      <c r="F19" s="7">
        <v>6.46</v>
      </c>
      <c r="G19" s="7">
        <v>2858</v>
      </c>
      <c r="H19" s="7">
        <v>1255</v>
      </c>
      <c r="I19" s="7">
        <v>1587</v>
      </c>
      <c r="J19" s="7">
        <v>983</v>
      </c>
      <c r="K19" s="7">
        <v>926</v>
      </c>
      <c r="L19" s="7">
        <v>689</v>
      </c>
      <c r="M19" s="7">
        <v>671</v>
      </c>
      <c r="N19" s="7">
        <v>7.7</v>
      </c>
      <c r="O19" s="7">
        <v>159</v>
      </c>
      <c r="P19" s="7">
        <v>69</v>
      </c>
      <c r="Q19" s="7">
        <v>75</v>
      </c>
      <c r="R19" s="7">
        <v>47</v>
      </c>
      <c r="S19" s="7">
        <v>43</v>
      </c>
      <c r="T19" s="7">
        <v>59</v>
      </c>
      <c r="U19" s="7">
        <v>60</v>
      </c>
      <c r="V19" s="7">
        <v>85</v>
      </c>
      <c r="W19" s="7">
        <v>0.45</v>
      </c>
      <c r="X19" s="7"/>
      <c r="Y19" s="7"/>
      <c r="Z19" s="7"/>
      <c r="AA19" s="7"/>
      <c r="AB19" s="7"/>
      <c r="AC19" s="7"/>
    </row>
    <row r="20" spans="1:29" ht="15.75" customHeight="1">
      <c r="A20" s="7" t="s">
        <v>210</v>
      </c>
      <c r="B20" s="7" t="s">
        <v>53</v>
      </c>
      <c r="C20" s="7">
        <v>7.7</v>
      </c>
      <c r="D20" s="7">
        <v>7.42</v>
      </c>
      <c r="E20" s="7">
        <v>7.97</v>
      </c>
      <c r="F20" s="7">
        <v>7.02</v>
      </c>
      <c r="G20" s="7">
        <v>2604</v>
      </c>
      <c r="H20" s="7">
        <v>1255</v>
      </c>
      <c r="I20" s="7">
        <v>1663</v>
      </c>
      <c r="J20" s="7">
        <v>1081</v>
      </c>
      <c r="K20" s="7">
        <v>973</v>
      </c>
      <c r="L20" s="7">
        <v>689</v>
      </c>
      <c r="M20" s="7">
        <v>671</v>
      </c>
      <c r="N20" s="7">
        <v>7.7</v>
      </c>
      <c r="O20" s="7">
        <v>159</v>
      </c>
      <c r="P20" s="7">
        <v>69</v>
      </c>
      <c r="Q20" s="7">
        <v>73</v>
      </c>
      <c r="R20" s="7">
        <v>49</v>
      </c>
      <c r="S20" s="7">
        <v>41</v>
      </c>
      <c r="T20" s="7">
        <v>59</v>
      </c>
      <c r="U20" s="7">
        <v>60</v>
      </c>
      <c r="V20" s="7">
        <v>83</v>
      </c>
      <c r="W20" s="7">
        <v>0.45</v>
      </c>
      <c r="X20" s="7"/>
      <c r="Y20" s="7"/>
      <c r="Z20" s="7"/>
      <c r="AA20" s="7"/>
      <c r="AB20" s="7"/>
      <c r="AC20" s="7"/>
    </row>
    <row r="21" spans="1:29" ht="15.75" customHeight="1">
      <c r="A21" s="7" t="s">
        <v>211</v>
      </c>
      <c r="B21" s="7" t="s">
        <v>54</v>
      </c>
      <c r="C21" s="7">
        <v>6.88</v>
      </c>
      <c r="D21" s="7">
        <v>8.2200000000000006</v>
      </c>
      <c r="E21" s="7">
        <v>7.75</v>
      </c>
      <c r="F21" s="7">
        <v>7</v>
      </c>
      <c r="G21" s="7">
        <v>2098</v>
      </c>
      <c r="H21" s="7">
        <v>1255</v>
      </c>
      <c r="I21" s="7">
        <v>1663</v>
      </c>
      <c r="J21" s="7">
        <v>1104</v>
      </c>
      <c r="K21" s="7">
        <v>973</v>
      </c>
      <c r="L21" s="7">
        <v>689</v>
      </c>
      <c r="M21" s="7">
        <v>671</v>
      </c>
      <c r="N21" s="7">
        <v>7.7</v>
      </c>
      <c r="O21" s="7">
        <v>127</v>
      </c>
      <c r="P21" s="7">
        <v>69</v>
      </c>
      <c r="Q21" s="7">
        <v>73</v>
      </c>
      <c r="R21" s="7">
        <v>51</v>
      </c>
      <c r="S21" s="7">
        <v>41</v>
      </c>
      <c r="T21" s="7">
        <v>59</v>
      </c>
      <c r="U21" s="7">
        <v>60</v>
      </c>
      <c r="V21" s="7">
        <v>83</v>
      </c>
      <c r="W21" s="7">
        <v>0.45</v>
      </c>
      <c r="X21" s="7"/>
      <c r="Y21" s="7"/>
      <c r="Z21" s="7"/>
      <c r="AA21" s="7"/>
      <c r="AB21" s="7"/>
      <c r="AC21" s="7"/>
    </row>
    <row r="22" spans="1:29" ht="15.75" customHeight="1">
      <c r="A22" s="7" t="s">
        <v>212</v>
      </c>
      <c r="B22" s="7" t="s">
        <v>57</v>
      </c>
      <c r="C22" s="7">
        <v>7.88</v>
      </c>
      <c r="D22" s="7">
        <v>6.7</v>
      </c>
      <c r="E22" s="7">
        <v>7.66</v>
      </c>
      <c r="F22" s="7">
        <v>6.9</v>
      </c>
      <c r="G22" s="7">
        <v>2730</v>
      </c>
      <c r="H22" s="7">
        <v>1255</v>
      </c>
      <c r="I22" s="7">
        <v>1672</v>
      </c>
      <c r="J22" s="7">
        <v>1085</v>
      </c>
      <c r="K22" s="7">
        <v>979</v>
      </c>
      <c r="L22" s="7">
        <v>689</v>
      </c>
      <c r="M22" s="7">
        <v>670</v>
      </c>
      <c r="N22" s="7">
        <v>7.7</v>
      </c>
      <c r="O22" s="7">
        <v>154</v>
      </c>
      <c r="P22" s="7">
        <v>69</v>
      </c>
      <c r="Q22" s="7">
        <v>74</v>
      </c>
      <c r="R22" s="7">
        <v>50</v>
      </c>
      <c r="S22" s="7">
        <v>42</v>
      </c>
      <c r="T22" s="7">
        <v>58</v>
      </c>
      <c r="U22" s="7">
        <v>60</v>
      </c>
      <c r="V22" s="7">
        <v>84</v>
      </c>
      <c r="W22" s="7">
        <v>0.45</v>
      </c>
      <c r="X22" s="7"/>
      <c r="Y22" s="7"/>
      <c r="Z22" s="7"/>
      <c r="AA22" s="7"/>
      <c r="AB22" s="7"/>
      <c r="AC22" s="7"/>
    </row>
    <row r="23" spans="1:29" ht="15.75" customHeight="1">
      <c r="A23" s="7" t="s">
        <v>213</v>
      </c>
      <c r="B23" s="7" t="s">
        <v>56</v>
      </c>
      <c r="C23" s="7">
        <v>7.94</v>
      </c>
      <c r="D23" s="7">
        <v>6.7</v>
      </c>
      <c r="E23" s="7">
        <v>7.85</v>
      </c>
      <c r="F23" s="7">
        <v>6.9</v>
      </c>
      <c r="G23" s="7">
        <v>2651</v>
      </c>
      <c r="H23" s="7">
        <v>1255</v>
      </c>
      <c r="I23" s="7">
        <v>1672</v>
      </c>
      <c r="J23" s="7">
        <v>1092</v>
      </c>
      <c r="K23" s="7">
        <v>979</v>
      </c>
      <c r="L23" s="7">
        <v>689</v>
      </c>
      <c r="M23" s="7">
        <v>673</v>
      </c>
      <c r="N23" s="7">
        <v>7.7</v>
      </c>
      <c r="O23" s="7">
        <v>150</v>
      </c>
      <c r="P23" s="7">
        <v>69</v>
      </c>
      <c r="Q23" s="7">
        <v>74</v>
      </c>
      <c r="R23" s="7">
        <v>50</v>
      </c>
      <c r="S23" s="7">
        <v>42</v>
      </c>
      <c r="T23" s="7">
        <v>59</v>
      </c>
      <c r="U23" s="7">
        <v>60</v>
      </c>
      <c r="V23" s="7">
        <v>84</v>
      </c>
      <c r="W23" s="7">
        <v>0.45</v>
      </c>
      <c r="X23" s="7"/>
      <c r="Y23" s="7"/>
      <c r="Z23" s="7"/>
      <c r="AA23" s="7"/>
      <c r="AB23" s="7"/>
      <c r="AC23" s="7"/>
    </row>
    <row r="24" spans="1:29" ht="15.75" customHeight="1">
      <c r="A24" s="7" t="s">
        <v>214</v>
      </c>
      <c r="B24" s="7" t="s">
        <v>55</v>
      </c>
      <c r="C24" s="7">
        <v>7.69</v>
      </c>
      <c r="D24" s="7">
        <v>6.7</v>
      </c>
      <c r="E24" s="7">
        <v>7.78</v>
      </c>
      <c r="F24" s="7">
        <v>6.9</v>
      </c>
      <c r="G24" s="7">
        <v>2576</v>
      </c>
      <c r="H24" s="7">
        <v>1255</v>
      </c>
      <c r="I24" s="7">
        <v>1672</v>
      </c>
      <c r="J24" s="7">
        <v>1100</v>
      </c>
      <c r="K24" s="7">
        <v>979</v>
      </c>
      <c r="L24" s="7">
        <v>689</v>
      </c>
      <c r="M24" s="7">
        <v>671</v>
      </c>
      <c r="N24" s="7">
        <v>7.7</v>
      </c>
      <c r="O24" s="7">
        <v>147</v>
      </c>
      <c r="P24" s="7">
        <v>69</v>
      </c>
      <c r="Q24" s="7">
        <v>74</v>
      </c>
      <c r="R24" s="7">
        <v>51</v>
      </c>
      <c r="S24" s="7">
        <v>42</v>
      </c>
      <c r="T24" s="7">
        <v>58</v>
      </c>
      <c r="U24" s="7">
        <v>60</v>
      </c>
      <c r="V24" s="7">
        <v>84</v>
      </c>
      <c r="W24" s="7">
        <v>0.45</v>
      </c>
      <c r="X24" s="7"/>
      <c r="Y24" s="7"/>
      <c r="Z24" s="7"/>
      <c r="AA24" s="7"/>
      <c r="AB24" s="7"/>
      <c r="AC24" s="7"/>
    </row>
    <row r="25" spans="1:29" ht="15.75" customHeight="1">
      <c r="A25" s="7" t="s">
        <v>215</v>
      </c>
      <c r="B25" s="7" t="s">
        <v>58</v>
      </c>
      <c r="C25" s="7">
        <v>9.0500000000000007</v>
      </c>
      <c r="D25" s="7">
        <v>7.42</v>
      </c>
      <c r="E25" s="7">
        <v>7.95</v>
      </c>
      <c r="F25" s="7">
        <v>6.91</v>
      </c>
      <c r="G25" s="7">
        <v>3116</v>
      </c>
      <c r="H25" s="7">
        <v>1255</v>
      </c>
      <c r="I25" s="7">
        <v>1587</v>
      </c>
      <c r="J25" s="7">
        <v>1017</v>
      </c>
      <c r="K25" s="7">
        <v>926</v>
      </c>
      <c r="L25" s="7">
        <v>689</v>
      </c>
      <c r="M25" s="7">
        <v>671</v>
      </c>
      <c r="N25" s="7">
        <v>7.7</v>
      </c>
      <c r="O25" s="7">
        <v>170</v>
      </c>
      <c r="P25" s="7">
        <v>69</v>
      </c>
      <c r="Q25" s="7">
        <v>75</v>
      </c>
      <c r="R25" s="7">
        <v>50</v>
      </c>
      <c r="S25" s="7">
        <v>43</v>
      </c>
      <c r="T25" s="7">
        <v>59</v>
      </c>
      <c r="U25" s="7">
        <v>60</v>
      </c>
      <c r="V25" s="7">
        <v>85</v>
      </c>
      <c r="W25" s="7">
        <v>0.45</v>
      </c>
      <c r="X25" s="7"/>
      <c r="Y25" s="7"/>
      <c r="Z25" s="7"/>
      <c r="AA25" s="7"/>
      <c r="AB25" s="7"/>
      <c r="AC25" s="7"/>
    </row>
    <row r="26" spans="1:29" ht="15.75" customHeight="1">
      <c r="A26" s="7" t="s">
        <v>216</v>
      </c>
      <c r="B26" s="7" t="s">
        <v>38</v>
      </c>
      <c r="C26" s="7">
        <v>8.1300000000000008</v>
      </c>
      <c r="D26" s="7">
        <v>7.42</v>
      </c>
      <c r="E26" s="7">
        <v>7.95</v>
      </c>
      <c r="F26" s="7">
        <v>6.91</v>
      </c>
      <c r="G26" s="7">
        <v>2785</v>
      </c>
      <c r="H26" s="7">
        <v>1255</v>
      </c>
      <c r="I26" s="7">
        <v>1598</v>
      </c>
      <c r="J26" s="7">
        <v>1013</v>
      </c>
      <c r="K26" s="7">
        <v>926</v>
      </c>
      <c r="L26" s="7">
        <v>689</v>
      </c>
      <c r="M26" s="7">
        <v>671</v>
      </c>
      <c r="N26" s="7">
        <v>7.7</v>
      </c>
      <c r="O26" s="7">
        <v>156</v>
      </c>
      <c r="P26" s="7">
        <v>69</v>
      </c>
      <c r="Q26" s="7">
        <v>75</v>
      </c>
      <c r="R26" s="7">
        <v>49</v>
      </c>
      <c r="S26" s="7">
        <v>43</v>
      </c>
      <c r="T26" s="7">
        <v>59</v>
      </c>
      <c r="U26" s="7">
        <v>60</v>
      </c>
      <c r="V26" s="7">
        <v>85</v>
      </c>
      <c r="W26" s="7">
        <v>0.45</v>
      </c>
      <c r="X26" s="7"/>
      <c r="Y26" s="7"/>
      <c r="Z26" s="7"/>
      <c r="AA26" s="7"/>
      <c r="AB26" s="7"/>
      <c r="AC26" s="7"/>
    </row>
    <row r="27" spans="1:29" ht="15.75" customHeight="1">
      <c r="A27" s="7" t="s">
        <v>217</v>
      </c>
      <c r="B27" s="7" t="s">
        <v>60</v>
      </c>
      <c r="C27" s="7">
        <v>8.09</v>
      </c>
      <c r="D27" s="7">
        <v>7.42</v>
      </c>
      <c r="E27" s="7">
        <v>7.85</v>
      </c>
      <c r="F27" s="7">
        <v>7.02</v>
      </c>
      <c r="G27" s="7">
        <v>2369</v>
      </c>
      <c r="H27" s="7">
        <v>1255</v>
      </c>
      <c r="I27" s="7">
        <v>1663</v>
      </c>
      <c r="J27" s="7">
        <v>1094</v>
      </c>
      <c r="K27" s="7">
        <v>972</v>
      </c>
      <c r="L27" s="7">
        <v>689</v>
      </c>
      <c r="M27" s="7">
        <v>671</v>
      </c>
      <c r="N27" s="7">
        <v>7.7</v>
      </c>
      <c r="O27" s="7">
        <v>140</v>
      </c>
      <c r="P27" s="7">
        <v>69</v>
      </c>
      <c r="Q27" s="7">
        <v>73</v>
      </c>
      <c r="R27" s="7">
        <v>50</v>
      </c>
      <c r="S27" s="7">
        <v>41</v>
      </c>
      <c r="T27" s="7">
        <v>58</v>
      </c>
      <c r="U27" s="7">
        <v>60</v>
      </c>
      <c r="V27" s="7">
        <v>83</v>
      </c>
      <c r="W27" s="7">
        <v>0.45</v>
      </c>
      <c r="X27" s="7"/>
      <c r="Y27" s="7"/>
      <c r="Z27" s="7"/>
      <c r="AA27" s="7"/>
      <c r="AB27" s="7"/>
      <c r="AC27" s="7"/>
    </row>
    <row r="28" spans="1:29" ht="15.75" customHeight="1">
      <c r="A28" s="7" t="s">
        <v>218</v>
      </c>
      <c r="B28" s="7" t="s">
        <v>59</v>
      </c>
      <c r="C28" s="7">
        <v>7.21</v>
      </c>
      <c r="D28" s="7">
        <v>7.42</v>
      </c>
      <c r="E28" s="7">
        <v>7.88</v>
      </c>
      <c r="F28" s="7">
        <v>6.91</v>
      </c>
      <c r="G28" s="7">
        <v>2159</v>
      </c>
      <c r="H28" s="7">
        <v>1255</v>
      </c>
      <c r="I28" s="7">
        <v>1587</v>
      </c>
      <c r="J28" s="7">
        <v>1035</v>
      </c>
      <c r="K28" s="7">
        <v>926</v>
      </c>
      <c r="L28" s="7">
        <v>689</v>
      </c>
      <c r="M28" s="7">
        <v>671</v>
      </c>
      <c r="N28" s="7">
        <v>7.7</v>
      </c>
      <c r="O28" s="7">
        <v>129</v>
      </c>
      <c r="P28" s="7">
        <v>69</v>
      </c>
      <c r="Q28" s="7">
        <v>75</v>
      </c>
      <c r="R28" s="7">
        <v>51</v>
      </c>
      <c r="S28" s="7">
        <v>43</v>
      </c>
      <c r="T28" s="7">
        <v>59</v>
      </c>
      <c r="U28" s="7">
        <v>60</v>
      </c>
      <c r="V28" s="7">
        <v>85</v>
      </c>
      <c r="W28" s="7">
        <v>0.45</v>
      </c>
      <c r="X28" s="7"/>
      <c r="Y28" s="7"/>
      <c r="Z28" s="7"/>
      <c r="AA28" s="7"/>
      <c r="AB28" s="7"/>
      <c r="AC28" s="7"/>
    </row>
    <row r="29" spans="1:29" ht="15.75" customHeight="1">
      <c r="A29" s="7" t="s">
        <v>219</v>
      </c>
      <c r="B29" s="7" t="s">
        <v>61</v>
      </c>
      <c r="C29" s="7">
        <v>8.0500000000000007</v>
      </c>
      <c r="D29" s="7">
        <v>7.42</v>
      </c>
      <c r="E29" s="7">
        <v>7.21</v>
      </c>
      <c r="F29" s="7">
        <v>6.46</v>
      </c>
      <c r="G29" s="7">
        <v>2670</v>
      </c>
      <c r="H29" s="7">
        <v>1255</v>
      </c>
      <c r="I29" s="7">
        <v>1890</v>
      </c>
      <c r="J29" s="7">
        <v>1252</v>
      </c>
      <c r="K29" s="7">
        <v>1119</v>
      </c>
      <c r="L29" s="7">
        <v>689</v>
      </c>
      <c r="M29" s="7">
        <v>671</v>
      </c>
      <c r="N29" s="7">
        <v>7.7</v>
      </c>
      <c r="O29" s="7">
        <v>151</v>
      </c>
      <c r="P29" s="7">
        <v>69</v>
      </c>
      <c r="Q29" s="7">
        <v>59</v>
      </c>
      <c r="R29" s="7">
        <v>41</v>
      </c>
      <c r="S29" s="7">
        <v>33</v>
      </c>
      <c r="T29" s="7">
        <v>58</v>
      </c>
      <c r="U29" s="7">
        <v>60</v>
      </c>
      <c r="V29" s="7">
        <v>69</v>
      </c>
      <c r="W29" s="7">
        <v>0.45</v>
      </c>
      <c r="X29" s="7"/>
      <c r="Y29" s="7"/>
      <c r="Z29" s="7"/>
      <c r="AA29" s="7"/>
      <c r="AB29" s="7"/>
      <c r="AC29" s="7"/>
    </row>
    <row r="30" spans="1:29" ht="15.75" customHeight="1">
      <c r="A30" s="7" t="s">
        <v>220</v>
      </c>
      <c r="B30" s="7" t="s">
        <v>64</v>
      </c>
      <c r="C30" s="7">
        <v>7.98</v>
      </c>
      <c r="D30" s="7">
        <v>7.42</v>
      </c>
      <c r="E30" s="7">
        <v>7.64</v>
      </c>
      <c r="F30" s="7">
        <v>6.46</v>
      </c>
      <c r="G30" s="7">
        <v>2936</v>
      </c>
      <c r="H30" s="7">
        <v>1255</v>
      </c>
      <c r="I30" s="7">
        <v>1587</v>
      </c>
      <c r="J30" s="7">
        <v>991</v>
      </c>
      <c r="K30" s="7">
        <v>926</v>
      </c>
      <c r="L30" s="7">
        <v>689</v>
      </c>
      <c r="M30" s="7">
        <v>671</v>
      </c>
      <c r="N30" s="7">
        <v>7.7</v>
      </c>
      <c r="O30" s="7">
        <v>163</v>
      </c>
      <c r="P30" s="7">
        <v>69</v>
      </c>
      <c r="Q30" s="7">
        <v>75</v>
      </c>
      <c r="R30" s="7">
        <v>48</v>
      </c>
      <c r="S30" s="7">
        <v>43</v>
      </c>
      <c r="T30" s="7">
        <v>59</v>
      </c>
      <c r="U30" s="7">
        <v>60</v>
      </c>
      <c r="V30" s="7">
        <v>85</v>
      </c>
      <c r="W30" s="7">
        <v>0.45</v>
      </c>
      <c r="X30" s="7"/>
      <c r="Y30" s="7"/>
      <c r="Z30" s="7"/>
      <c r="AA30" s="7"/>
      <c r="AB30" s="7"/>
      <c r="AC30" s="7"/>
    </row>
    <row r="31" spans="1:29" ht="15.75" customHeight="1">
      <c r="A31" s="7" t="s">
        <v>221</v>
      </c>
      <c r="B31" s="7" t="s">
        <v>68</v>
      </c>
      <c r="C31" s="7">
        <v>9.75</v>
      </c>
      <c r="D31" s="7">
        <v>7.42</v>
      </c>
      <c r="E31" s="7">
        <v>10.5</v>
      </c>
      <c r="F31" s="7">
        <v>9.02</v>
      </c>
      <c r="G31" s="7">
        <v>2931</v>
      </c>
      <c r="H31" s="7">
        <v>1255</v>
      </c>
      <c r="I31" s="7">
        <v>1890</v>
      </c>
      <c r="J31" s="7">
        <v>1246</v>
      </c>
      <c r="K31" s="7">
        <v>1119</v>
      </c>
      <c r="L31" s="7">
        <v>689</v>
      </c>
      <c r="M31" s="7">
        <v>672</v>
      </c>
      <c r="N31" s="7">
        <v>7.7</v>
      </c>
      <c r="O31" s="7">
        <v>162</v>
      </c>
      <c r="P31" s="7">
        <v>69</v>
      </c>
      <c r="Q31" s="7">
        <v>59</v>
      </c>
      <c r="R31" s="7">
        <v>40</v>
      </c>
      <c r="S31" s="7">
        <v>33</v>
      </c>
      <c r="T31" s="7">
        <v>59</v>
      </c>
      <c r="U31" s="7">
        <v>60</v>
      </c>
      <c r="V31" s="7">
        <v>69</v>
      </c>
      <c r="W31" s="7">
        <v>0.45</v>
      </c>
      <c r="X31" s="7"/>
      <c r="Y31" s="7"/>
      <c r="Z31" s="7"/>
      <c r="AA31" s="7"/>
      <c r="AB31" s="7"/>
      <c r="AC31" s="7"/>
    </row>
    <row r="32" spans="1:29" ht="15.75" customHeight="1">
      <c r="A32" s="7" t="s">
        <v>222</v>
      </c>
      <c r="B32" s="7" t="s">
        <v>65</v>
      </c>
      <c r="C32" s="7">
        <v>8.58</v>
      </c>
      <c r="D32" s="7">
        <v>6.7</v>
      </c>
      <c r="E32" s="7">
        <v>7.78</v>
      </c>
      <c r="F32" s="7">
        <v>6.9</v>
      </c>
      <c r="G32" s="7">
        <v>2678</v>
      </c>
      <c r="H32" s="7">
        <v>1255</v>
      </c>
      <c r="I32" s="7">
        <v>1672</v>
      </c>
      <c r="J32" s="7">
        <v>1099</v>
      </c>
      <c r="K32" s="7">
        <v>979</v>
      </c>
      <c r="L32" s="7">
        <v>689</v>
      </c>
      <c r="M32" s="7">
        <v>671</v>
      </c>
      <c r="N32" s="7">
        <v>7.7</v>
      </c>
      <c r="O32" s="7">
        <v>152</v>
      </c>
      <c r="P32" s="7">
        <v>69</v>
      </c>
      <c r="Q32" s="7">
        <v>74</v>
      </c>
      <c r="R32" s="7">
        <v>51</v>
      </c>
      <c r="S32" s="7">
        <v>42</v>
      </c>
      <c r="T32" s="7">
        <v>58</v>
      </c>
      <c r="U32" s="7">
        <v>60</v>
      </c>
      <c r="V32" s="7">
        <v>84</v>
      </c>
      <c r="W32" s="7">
        <v>0.45</v>
      </c>
      <c r="X32" s="7"/>
      <c r="Y32" s="7"/>
      <c r="Z32" s="7"/>
      <c r="AA32" s="7"/>
      <c r="AB32" s="7"/>
      <c r="AC32" s="7"/>
    </row>
    <row r="33" spans="1:29" ht="15.75" customHeight="1">
      <c r="A33" s="7" t="s">
        <v>223</v>
      </c>
      <c r="B33" s="7" t="s">
        <v>66</v>
      </c>
      <c r="C33" s="7">
        <v>7.64</v>
      </c>
      <c r="D33" s="7">
        <v>6.7</v>
      </c>
      <c r="E33" s="7">
        <v>7.92</v>
      </c>
      <c r="F33" s="7">
        <v>6.9</v>
      </c>
      <c r="G33" s="7">
        <v>2569</v>
      </c>
      <c r="H33" s="7">
        <v>1255</v>
      </c>
      <c r="I33" s="7">
        <v>1672</v>
      </c>
      <c r="J33" s="7">
        <v>1099</v>
      </c>
      <c r="K33" s="7">
        <v>979</v>
      </c>
      <c r="L33" s="7">
        <v>689</v>
      </c>
      <c r="M33" s="7">
        <v>671</v>
      </c>
      <c r="N33" s="7">
        <v>7.7</v>
      </c>
      <c r="O33" s="7">
        <v>147</v>
      </c>
      <c r="P33" s="7">
        <v>69</v>
      </c>
      <c r="Q33" s="7">
        <v>74</v>
      </c>
      <c r="R33" s="7">
        <v>51</v>
      </c>
      <c r="S33" s="7">
        <v>42</v>
      </c>
      <c r="T33" s="7">
        <v>58</v>
      </c>
      <c r="U33" s="7">
        <v>60</v>
      </c>
      <c r="V33" s="7">
        <v>84</v>
      </c>
      <c r="W33" s="7">
        <v>0.45</v>
      </c>
      <c r="X33" s="7"/>
      <c r="Y33" s="7"/>
      <c r="Z33" s="7"/>
      <c r="AA33" s="7"/>
      <c r="AB33" s="7"/>
      <c r="AC33" s="7"/>
    </row>
    <row r="34" spans="1:29" ht="15.75" customHeight="1">
      <c r="A34" s="7" t="s">
        <v>261</v>
      </c>
      <c r="B34" s="7" t="s">
        <v>67</v>
      </c>
      <c r="C34" s="7">
        <v>10.029999999999999</v>
      </c>
      <c r="D34" s="7">
        <v>7.42</v>
      </c>
      <c r="E34" s="7">
        <v>10.64</v>
      </c>
      <c r="F34" s="7">
        <v>9.02</v>
      </c>
      <c r="G34" s="7">
        <v>2937</v>
      </c>
      <c r="H34" s="7">
        <v>1255</v>
      </c>
      <c r="I34" s="7">
        <v>1890</v>
      </c>
      <c r="J34" s="7">
        <v>1238</v>
      </c>
      <c r="K34" s="7">
        <v>1119</v>
      </c>
      <c r="L34" s="7">
        <v>689</v>
      </c>
      <c r="M34" s="7">
        <v>671</v>
      </c>
      <c r="N34" s="7">
        <v>7.7</v>
      </c>
      <c r="O34" s="7">
        <v>163</v>
      </c>
      <c r="P34" s="7">
        <v>69</v>
      </c>
      <c r="Q34" s="7">
        <v>59</v>
      </c>
      <c r="R34" s="7">
        <v>40</v>
      </c>
      <c r="S34" s="7">
        <v>33</v>
      </c>
      <c r="T34" s="7">
        <v>59</v>
      </c>
      <c r="U34" s="7">
        <v>60</v>
      </c>
      <c r="V34" s="7">
        <v>69</v>
      </c>
      <c r="W34" s="7">
        <v>0.45</v>
      </c>
      <c r="X34" s="7"/>
      <c r="Y34" s="7"/>
      <c r="Z34" s="7"/>
      <c r="AA34" s="7"/>
      <c r="AB34" s="7"/>
      <c r="AC34" s="7"/>
    </row>
    <row r="35" spans="1:29" ht="15.75" customHeight="1">
      <c r="A35" s="7" t="s">
        <v>225</v>
      </c>
      <c r="B35" s="7" t="s">
        <v>39</v>
      </c>
      <c r="C35" s="7">
        <v>8.24</v>
      </c>
      <c r="D35" s="7">
        <v>6.7</v>
      </c>
      <c r="E35" s="7">
        <v>7.99</v>
      </c>
      <c r="F35" s="7">
        <v>6.9</v>
      </c>
      <c r="G35" s="7">
        <v>2918</v>
      </c>
      <c r="H35" s="7">
        <v>1255</v>
      </c>
      <c r="I35" s="7">
        <v>1672</v>
      </c>
      <c r="J35" s="7">
        <v>1085</v>
      </c>
      <c r="K35" s="7">
        <v>979</v>
      </c>
      <c r="L35" s="7">
        <v>689</v>
      </c>
      <c r="M35" s="7">
        <v>671</v>
      </c>
      <c r="N35" s="7">
        <v>7.7</v>
      </c>
      <c r="O35" s="7">
        <v>162</v>
      </c>
      <c r="P35" s="7">
        <v>69</v>
      </c>
      <c r="Q35" s="7">
        <v>74</v>
      </c>
      <c r="R35" s="7">
        <v>50</v>
      </c>
      <c r="S35" s="7">
        <v>42</v>
      </c>
      <c r="T35" s="7">
        <v>59</v>
      </c>
      <c r="U35" s="7">
        <v>60</v>
      </c>
      <c r="V35" s="7">
        <v>84</v>
      </c>
      <c r="W35" s="7">
        <v>0.45</v>
      </c>
      <c r="X35" s="7"/>
      <c r="Y35" s="7"/>
      <c r="Z35" s="7"/>
      <c r="AA35" s="7"/>
      <c r="AB35" s="7"/>
      <c r="AC35" s="7"/>
    </row>
    <row r="36" spans="1:29" ht="15.75" customHeight="1">
      <c r="A36" s="7" t="s">
        <v>226</v>
      </c>
      <c r="B36" s="7" t="s">
        <v>62</v>
      </c>
      <c r="C36" s="7">
        <v>9.07</v>
      </c>
      <c r="D36" s="7">
        <v>7.42</v>
      </c>
      <c r="E36" s="7">
        <v>7.85</v>
      </c>
      <c r="F36" s="7">
        <v>7.02</v>
      </c>
      <c r="G36" s="7">
        <v>2774</v>
      </c>
      <c r="H36" s="7">
        <v>1255</v>
      </c>
      <c r="I36" s="7">
        <v>1663</v>
      </c>
      <c r="J36" s="7">
        <v>1099</v>
      </c>
      <c r="K36" s="7">
        <v>973</v>
      </c>
      <c r="L36" s="7">
        <v>689</v>
      </c>
      <c r="M36" s="7">
        <v>670</v>
      </c>
      <c r="N36" s="7">
        <v>7.7</v>
      </c>
      <c r="O36" s="7">
        <v>158</v>
      </c>
      <c r="P36" s="7">
        <v>69</v>
      </c>
      <c r="Q36" s="7">
        <v>73</v>
      </c>
      <c r="R36" s="7">
        <v>50</v>
      </c>
      <c r="S36" s="7">
        <v>41</v>
      </c>
      <c r="T36" s="7">
        <v>58</v>
      </c>
      <c r="U36" s="7">
        <v>60</v>
      </c>
      <c r="V36" s="7">
        <v>83</v>
      </c>
      <c r="W36" s="7">
        <v>0.45</v>
      </c>
      <c r="X36" s="7"/>
      <c r="Y36" s="7"/>
      <c r="Z36" s="7"/>
      <c r="AA36" s="7"/>
      <c r="AB36" s="7"/>
      <c r="AC36" s="7"/>
    </row>
    <row r="37" spans="1:29" ht="15.75" customHeight="1">
      <c r="A37" s="7" t="s">
        <v>227</v>
      </c>
      <c r="B37" s="7" t="s">
        <v>63</v>
      </c>
      <c r="C37" s="7">
        <v>7.29</v>
      </c>
      <c r="D37" s="7">
        <v>7.42</v>
      </c>
      <c r="E37" s="7">
        <v>7.4</v>
      </c>
      <c r="F37" s="7">
        <v>6.46</v>
      </c>
      <c r="G37" s="7">
        <v>2722</v>
      </c>
      <c r="H37" s="7">
        <v>1255</v>
      </c>
      <c r="I37" s="7">
        <v>1587</v>
      </c>
      <c r="J37" s="7">
        <v>1020</v>
      </c>
      <c r="K37" s="7">
        <v>926</v>
      </c>
      <c r="L37" s="7">
        <v>689</v>
      </c>
      <c r="M37" s="7">
        <v>672</v>
      </c>
      <c r="N37" s="7">
        <v>7.7</v>
      </c>
      <c r="O37" s="7">
        <v>153</v>
      </c>
      <c r="P37" s="7">
        <v>69</v>
      </c>
      <c r="Q37" s="7">
        <v>75</v>
      </c>
      <c r="R37" s="7">
        <v>50</v>
      </c>
      <c r="S37" s="7">
        <v>43</v>
      </c>
      <c r="T37" s="7">
        <v>59</v>
      </c>
      <c r="U37" s="7">
        <v>60</v>
      </c>
      <c r="V37" s="7">
        <v>85</v>
      </c>
      <c r="W37" s="7">
        <v>0.45</v>
      </c>
      <c r="X37" s="7"/>
      <c r="Y37" s="7"/>
      <c r="Z37" s="7"/>
      <c r="AA37" s="7"/>
      <c r="AB37" s="7"/>
      <c r="AC37" s="7"/>
    </row>
    <row r="38" spans="1:29" ht="15.75" customHeight="1">
      <c r="A38" s="7" t="s">
        <v>228</v>
      </c>
      <c r="B38" s="7" t="s">
        <v>69</v>
      </c>
      <c r="C38" s="7">
        <v>7.94</v>
      </c>
      <c r="D38" s="7">
        <v>7.42</v>
      </c>
      <c r="E38" s="7">
        <v>7.94</v>
      </c>
      <c r="F38" s="7">
        <v>6.91</v>
      </c>
      <c r="G38" s="7">
        <v>2741</v>
      </c>
      <c r="H38" s="7">
        <v>1255</v>
      </c>
      <c r="I38" s="7">
        <v>1587</v>
      </c>
      <c r="J38" s="7">
        <v>1027</v>
      </c>
      <c r="K38" s="7">
        <v>926</v>
      </c>
      <c r="L38" s="7">
        <v>689</v>
      </c>
      <c r="M38" s="7">
        <v>671</v>
      </c>
      <c r="N38" s="7">
        <v>7.7</v>
      </c>
      <c r="O38" s="7">
        <v>154</v>
      </c>
      <c r="P38" s="7">
        <v>69</v>
      </c>
      <c r="Q38" s="7">
        <v>75</v>
      </c>
      <c r="R38" s="7">
        <v>51</v>
      </c>
      <c r="S38" s="7">
        <v>43</v>
      </c>
      <c r="T38" s="7">
        <v>58</v>
      </c>
      <c r="U38" s="7">
        <v>60</v>
      </c>
      <c r="V38" s="7">
        <v>85</v>
      </c>
      <c r="W38" s="7">
        <v>0.45</v>
      </c>
      <c r="X38" s="7"/>
      <c r="Y38" s="7"/>
      <c r="Z38" s="7"/>
      <c r="AA38" s="7"/>
      <c r="AB38" s="7"/>
      <c r="AC38" s="7"/>
    </row>
    <row r="39" spans="1:29" ht="15.75" customHeight="1">
      <c r="A39" s="7" t="s">
        <v>229</v>
      </c>
      <c r="B39" s="7" t="s">
        <v>70</v>
      </c>
      <c r="C39" s="7">
        <v>8.0399999999999991</v>
      </c>
      <c r="D39" s="7">
        <v>8.2200000000000006</v>
      </c>
      <c r="E39" s="7">
        <v>8.09</v>
      </c>
      <c r="F39" s="7">
        <v>7</v>
      </c>
      <c r="G39" s="7">
        <v>2399</v>
      </c>
      <c r="H39" s="7">
        <v>1255</v>
      </c>
      <c r="I39" s="7">
        <v>1663</v>
      </c>
      <c r="J39" s="7">
        <v>1069</v>
      </c>
      <c r="K39" s="7">
        <v>973</v>
      </c>
      <c r="L39" s="7">
        <v>689</v>
      </c>
      <c r="M39" s="7">
        <v>671</v>
      </c>
      <c r="N39" s="7">
        <v>7.7</v>
      </c>
      <c r="O39" s="7">
        <v>140</v>
      </c>
      <c r="P39" s="7">
        <v>69</v>
      </c>
      <c r="Q39" s="7">
        <v>73</v>
      </c>
      <c r="R39" s="7">
        <v>48</v>
      </c>
      <c r="S39" s="7">
        <v>41</v>
      </c>
      <c r="T39" s="7">
        <v>59</v>
      </c>
      <c r="U39" s="7">
        <v>60</v>
      </c>
      <c r="V39" s="7">
        <v>83</v>
      </c>
      <c r="W39" s="7">
        <v>0.45</v>
      </c>
      <c r="X39" s="7"/>
      <c r="Y39" s="7"/>
      <c r="Z39" s="7"/>
      <c r="AA39" s="7"/>
      <c r="AB39" s="7"/>
      <c r="AC39" s="7"/>
    </row>
    <row r="40" spans="1:29" ht="15.75" customHeight="1">
      <c r="A40" s="7" t="s">
        <v>230</v>
      </c>
      <c r="B40" s="7" t="s">
        <v>71</v>
      </c>
      <c r="C40" s="7">
        <v>9.49</v>
      </c>
      <c r="D40" s="7">
        <v>7.42</v>
      </c>
      <c r="E40" s="7">
        <v>10.61</v>
      </c>
      <c r="F40" s="7">
        <v>9.02</v>
      </c>
      <c r="G40" s="7">
        <v>2660</v>
      </c>
      <c r="H40" s="7">
        <v>1255</v>
      </c>
      <c r="I40" s="7">
        <v>1890</v>
      </c>
      <c r="J40" s="7">
        <v>1235</v>
      </c>
      <c r="K40" s="7">
        <v>1119</v>
      </c>
      <c r="L40" s="7">
        <v>689</v>
      </c>
      <c r="M40" s="7">
        <v>671</v>
      </c>
      <c r="N40" s="7">
        <v>7.7</v>
      </c>
      <c r="O40" s="7">
        <v>151</v>
      </c>
      <c r="P40" s="7">
        <v>69</v>
      </c>
      <c r="Q40" s="7">
        <v>59</v>
      </c>
      <c r="R40" s="7">
        <v>40</v>
      </c>
      <c r="S40" s="7">
        <v>33</v>
      </c>
      <c r="T40" s="7">
        <v>59</v>
      </c>
      <c r="U40" s="7">
        <v>60</v>
      </c>
      <c r="V40" s="7">
        <v>69</v>
      </c>
      <c r="W40" s="7">
        <v>0.45</v>
      </c>
      <c r="X40" s="7"/>
      <c r="Y40" s="7"/>
      <c r="Z40" s="7"/>
      <c r="AA40" s="7"/>
      <c r="AB40" s="7"/>
      <c r="AC40" s="7"/>
    </row>
    <row r="41" spans="1:29" ht="15.75" customHeight="1">
      <c r="A41" s="7" t="s">
        <v>231</v>
      </c>
      <c r="B41" s="7" t="s">
        <v>72</v>
      </c>
      <c r="C41" s="7">
        <v>8.27</v>
      </c>
      <c r="D41" s="7">
        <v>6.7</v>
      </c>
      <c r="E41" s="7">
        <v>8.0299999999999994</v>
      </c>
      <c r="F41" s="7">
        <v>6.9</v>
      </c>
      <c r="G41" s="7">
        <v>2682</v>
      </c>
      <c r="H41" s="7">
        <v>1255</v>
      </c>
      <c r="I41" s="7">
        <v>1672</v>
      </c>
      <c r="J41" s="7">
        <v>1087</v>
      </c>
      <c r="K41" s="7">
        <v>979</v>
      </c>
      <c r="L41" s="7">
        <v>689</v>
      </c>
      <c r="M41" s="7">
        <v>671</v>
      </c>
      <c r="N41" s="7">
        <v>7.7</v>
      </c>
      <c r="O41" s="7">
        <v>152</v>
      </c>
      <c r="P41" s="7">
        <v>69</v>
      </c>
      <c r="Q41" s="7">
        <v>74</v>
      </c>
      <c r="R41" s="7">
        <v>50</v>
      </c>
      <c r="S41" s="7">
        <v>42</v>
      </c>
      <c r="T41" s="7">
        <v>59</v>
      </c>
      <c r="U41" s="7">
        <v>60</v>
      </c>
      <c r="V41" s="7">
        <v>84</v>
      </c>
      <c r="W41" s="7">
        <v>0.45</v>
      </c>
      <c r="X41" s="7"/>
      <c r="Y41" s="7"/>
      <c r="Z41" s="7"/>
      <c r="AA41" s="7"/>
      <c r="AB41" s="7"/>
      <c r="AC41" s="7"/>
    </row>
    <row r="42" spans="1:29" ht="15.75" customHeight="1">
      <c r="A42" s="7" t="s">
        <v>232</v>
      </c>
      <c r="B42" s="7" t="s">
        <v>73</v>
      </c>
      <c r="C42" s="7">
        <v>7.56</v>
      </c>
      <c r="D42" s="7">
        <v>6.7</v>
      </c>
      <c r="E42" s="7">
        <v>7.66</v>
      </c>
      <c r="F42" s="7">
        <v>6.9</v>
      </c>
      <c r="G42" s="7">
        <v>2717</v>
      </c>
      <c r="H42" s="7">
        <v>1255</v>
      </c>
      <c r="I42" s="7">
        <v>1672</v>
      </c>
      <c r="J42" s="7">
        <v>1104</v>
      </c>
      <c r="K42" s="7">
        <v>979</v>
      </c>
      <c r="L42" s="7">
        <v>689</v>
      </c>
      <c r="M42" s="7">
        <v>670</v>
      </c>
      <c r="N42" s="7">
        <v>7.7</v>
      </c>
      <c r="O42" s="7">
        <v>153</v>
      </c>
      <c r="P42" s="7">
        <v>69</v>
      </c>
      <c r="Q42" s="7">
        <v>74</v>
      </c>
      <c r="R42" s="7">
        <v>51</v>
      </c>
      <c r="S42" s="7">
        <v>42</v>
      </c>
      <c r="T42" s="7">
        <v>58</v>
      </c>
      <c r="U42" s="7">
        <v>60</v>
      </c>
      <c r="V42" s="7">
        <v>84</v>
      </c>
      <c r="W42" s="7">
        <v>0.45</v>
      </c>
      <c r="X42" s="7"/>
      <c r="Y42" s="7"/>
      <c r="Z42" s="7"/>
      <c r="AA42" s="7"/>
      <c r="AB42" s="7"/>
      <c r="AC42" s="7"/>
    </row>
    <row r="43" spans="1:29" ht="15.75" customHeight="1">
      <c r="A43" s="7" t="s">
        <v>233</v>
      </c>
      <c r="B43" s="7" t="s">
        <v>74</v>
      </c>
      <c r="C43" s="7">
        <v>8.73</v>
      </c>
      <c r="D43" s="7">
        <v>7.42</v>
      </c>
      <c r="E43" s="7">
        <v>7.85</v>
      </c>
      <c r="F43" s="7">
        <v>7.02</v>
      </c>
      <c r="G43" s="7">
        <v>2557</v>
      </c>
      <c r="H43" s="7">
        <v>1255</v>
      </c>
      <c r="I43" s="7">
        <v>1663</v>
      </c>
      <c r="J43" s="7">
        <v>1097</v>
      </c>
      <c r="K43" s="7">
        <v>973</v>
      </c>
      <c r="L43" s="7">
        <v>689</v>
      </c>
      <c r="M43" s="7">
        <v>670</v>
      </c>
      <c r="N43" s="7">
        <v>7.7</v>
      </c>
      <c r="O43" s="7">
        <v>148</v>
      </c>
      <c r="P43" s="7">
        <v>69</v>
      </c>
      <c r="Q43" s="7">
        <v>73</v>
      </c>
      <c r="R43" s="7">
        <v>50</v>
      </c>
      <c r="S43" s="7">
        <v>41</v>
      </c>
      <c r="T43" s="7">
        <v>58</v>
      </c>
      <c r="U43" s="7">
        <v>60</v>
      </c>
      <c r="V43" s="7">
        <v>83</v>
      </c>
      <c r="W43" s="7">
        <v>0.45</v>
      </c>
      <c r="X43" s="7"/>
      <c r="Y43" s="7"/>
      <c r="Z43" s="7"/>
      <c r="AA43" s="7"/>
      <c r="AB43" s="7"/>
      <c r="AC43" s="7"/>
    </row>
    <row r="44" spans="1:29" ht="15.75" customHeight="1">
      <c r="A44" s="7" t="s">
        <v>234</v>
      </c>
      <c r="B44" s="7" t="s">
        <v>75</v>
      </c>
      <c r="C44" s="7">
        <v>8.24</v>
      </c>
      <c r="D44" s="7">
        <v>7.42</v>
      </c>
      <c r="E44" s="7">
        <v>7.5</v>
      </c>
      <c r="F44" s="7">
        <v>6.46</v>
      </c>
      <c r="G44" s="7">
        <v>2815</v>
      </c>
      <c r="H44" s="7">
        <v>1255</v>
      </c>
      <c r="I44" s="7">
        <v>1587</v>
      </c>
      <c r="J44" s="7">
        <v>1020</v>
      </c>
      <c r="K44" s="7">
        <v>926</v>
      </c>
      <c r="L44" s="7">
        <v>689</v>
      </c>
      <c r="M44" s="7">
        <v>671</v>
      </c>
      <c r="N44" s="7">
        <v>7.7</v>
      </c>
      <c r="O44" s="7">
        <v>157</v>
      </c>
      <c r="P44" s="7">
        <v>69</v>
      </c>
      <c r="Q44" s="7">
        <v>75</v>
      </c>
      <c r="R44" s="7">
        <v>50</v>
      </c>
      <c r="S44" s="7">
        <v>43</v>
      </c>
      <c r="T44" s="7">
        <v>59</v>
      </c>
      <c r="U44" s="7">
        <v>60</v>
      </c>
      <c r="V44" s="7">
        <v>85</v>
      </c>
      <c r="W44" s="7">
        <v>0.45</v>
      </c>
      <c r="X44" s="7"/>
      <c r="Y44" s="7"/>
      <c r="Z44" s="7"/>
      <c r="AA44" s="7"/>
      <c r="AB44" s="7"/>
      <c r="AC44" s="7"/>
    </row>
    <row r="45" spans="1:29" ht="15.75" customHeight="1">
      <c r="A45" s="7" t="s">
        <v>235</v>
      </c>
      <c r="B45" s="7" t="s">
        <v>76</v>
      </c>
      <c r="C45" s="7">
        <v>8.2100000000000009</v>
      </c>
      <c r="D45" s="7">
        <v>7.42</v>
      </c>
      <c r="E45" s="7">
        <v>7.92</v>
      </c>
      <c r="F45" s="7">
        <v>7.02</v>
      </c>
      <c r="G45" s="7">
        <v>2495</v>
      </c>
      <c r="H45" s="7">
        <v>1255</v>
      </c>
      <c r="I45" s="7">
        <v>1663</v>
      </c>
      <c r="J45" s="7">
        <v>1087</v>
      </c>
      <c r="K45" s="7">
        <v>973</v>
      </c>
      <c r="L45" s="7">
        <v>689</v>
      </c>
      <c r="M45" s="7">
        <v>670</v>
      </c>
      <c r="N45" s="7">
        <v>7.7</v>
      </c>
      <c r="O45" s="7">
        <v>146</v>
      </c>
      <c r="P45" s="7">
        <v>69</v>
      </c>
      <c r="Q45" s="7">
        <v>73</v>
      </c>
      <c r="R45" s="7">
        <v>50</v>
      </c>
      <c r="S45" s="7">
        <v>41</v>
      </c>
      <c r="T45" s="7">
        <v>58</v>
      </c>
      <c r="U45" s="7">
        <v>60</v>
      </c>
      <c r="V45" s="7">
        <v>83</v>
      </c>
      <c r="W45" s="7">
        <v>0.45</v>
      </c>
      <c r="X45" s="7"/>
      <c r="Y45" s="7"/>
      <c r="Z45" s="7"/>
      <c r="AA45" s="7"/>
      <c r="AB45" s="7"/>
      <c r="AC45" s="7"/>
    </row>
    <row r="46" spans="1:29" ht="15.75" customHeight="1">
      <c r="A46" s="7" t="s">
        <v>236</v>
      </c>
      <c r="B46" s="7" t="s">
        <v>77</v>
      </c>
      <c r="C46" s="7">
        <v>9.19</v>
      </c>
      <c r="D46" s="7">
        <v>8.2200000000000006</v>
      </c>
      <c r="E46" s="7">
        <v>8.1999999999999993</v>
      </c>
      <c r="F46" s="7">
        <v>7</v>
      </c>
      <c r="G46" s="7">
        <v>2954</v>
      </c>
      <c r="H46" s="7">
        <v>1255</v>
      </c>
      <c r="I46" s="7">
        <v>1663</v>
      </c>
      <c r="J46" s="7">
        <v>1061</v>
      </c>
      <c r="K46" s="7">
        <v>973</v>
      </c>
      <c r="L46" s="7">
        <v>689</v>
      </c>
      <c r="M46" s="7">
        <v>671</v>
      </c>
      <c r="N46" s="7">
        <v>7.7</v>
      </c>
      <c r="O46" s="7">
        <v>164</v>
      </c>
      <c r="P46" s="7">
        <v>69</v>
      </c>
      <c r="Q46" s="7">
        <v>73</v>
      </c>
      <c r="R46" s="7">
        <v>48</v>
      </c>
      <c r="S46" s="7">
        <v>41</v>
      </c>
      <c r="T46" s="7">
        <v>59</v>
      </c>
      <c r="U46" s="7">
        <v>60</v>
      </c>
      <c r="V46" s="7">
        <v>83</v>
      </c>
      <c r="W46" s="7">
        <v>0.45</v>
      </c>
      <c r="X46" s="7"/>
      <c r="Y46" s="7"/>
      <c r="Z46" s="7"/>
      <c r="AA46" s="7"/>
      <c r="AB46" s="7"/>
      <c r="AC46" s="7"/>
    </row>
    <row r="47" spans="1:29" ht="15.75" customHeight="1">
      <c r="A47" s="7" t="s">
        <v>237</v>
      </c>
      <c r="B47" s="7" t="s">
        <v>78</v>
      </c>
      <c r="C47" s="7">
        <v>9.75</v>
      </c>
      <c r="D47" s="7">
        <v>7.42</v>
      </c>
      <c r="E47" s="7">
        <v>10.58</v>
      </c>
      <c r="F47" s="7">
        <v>9.02</v>
      </c>
      <c r="G47" s="7">
        <v>2821</v>
      </c>
      <c r="H47" s="7">
        <v>1255</v>
      </c>
      <c r="I47" s="7">
        <v>1890</v>
      </c>
      <c r="J47" s="7">
        <v>1248</v>
      </c>
      <c r="K47" s="7">
        <v>1119</v>
      </c>
      <c r="L47" s="7">
        <v>689</v>
      </c>
      <c r="M47" s="7">
        <v>672</v>
      </c>
      <c r="N47" s="7">
        <v>7.7</v>
      </c>
      <c r="O47" s="7">
        <v>158</v>
      </c>
      <c r="P47" s="7">
        <v>69</v>
      </c>
      <c r="Q47" s="7">
        <v>59</v>
      </c>
      <c r="R47" s="7">
        <v>40</v>
      </c>
      <c r="S47" s="7">
        <v>33</v>
      </c>
      <c r="T47" s="7">
        <v>59</v>
      </c>
      <c r="U47" s="7">
        <v>60</v>
      </c>
      <c r="V47" s="7">
        <v>69</v>
      </c>
      <c r="W47" s="7">
        <v>0.45</v>
      </c>
      <c r="X47" s="7"/>
      <c r="Y47" s="7"/>
      <c r="Z47" s="7"/>
      <c r="AA47" s="7"/>
      <c r="AB47" s="7"/>
      <c r="AC47" s="7"/>
    </row>
    <row r="48" spans="1:29" ht="15.75" customHeight="1">
      <c r="A48" s="7" t="s">
        <v>238</v>
      </c>
      <c r="B48" s="7" t="s">
        <v>80</v>
      </c>
      <c r="C48" s="7">
        <v>7.95</v>
      </c>
      <c r="D48" s="7">
        <v>6.7</v>
      </c>
      <c r="E48" s="7">
        <v>7.92</v>
      </c>
      <c r="F48" s="7">
        <v>6.9</v>
      </c>
      <c r="G48" s="7">
        <v>2682</v>
      </c>
      <c r="H48" s="7">
        <v>1255</v>
      </c>
      <c r="I48" s="7">
        <v>1672</v>
      </c>
      <c r="J48" s="7">
        <v>1080</v>
      </c>
      <c r="K48" s="7">
        <v>979</v>
      </c>
      <c r="L48" s="7">
        <v>689</v>
      </c>
      <c r="M48" s="7">
        <v>671</v>
      </c>
      <c r="N48" s="7">
        <v>7.7</v>
      </c>
      <c r="O48" s="7">
        <v>152</v>
      </c>
      <c r="P48" s="7">
        <v>69</v>
      </c>
      <c r="Q48" s="7">
        <v>74</v>
      </c>
      <c r="R48" s="7">
        <v>50</v>
      </c>
      <c r="S48" s="7">
        <v>42</v>
      </c>
      <c r="T48" s="7">
        <v>59</v>
      </c>
      <c r="U48" s="7">
        <v>60</v>
      </c>
      <c r="V48" s="7">
        <v>84</v>
      </c>
      <c r="W48" s="7">
        <v>0.45</v>
      </c>
      <c r="X48" s="7"/>
      <c r="Y48" s="7"/>
      <c r="Z48" s="7"/>
      <c r="AA48" s="7"/>
      <c r="AB48" s="7"/>
      <c r="AC48" s="7"/>
    </row>
    <row r="49" spans="1:29" ht="15.75" customHeight="1">
      <c r="A49" s="7" t="s">
        <v>239</v>
      </c>
      <c r="B49" s="7" t="s">
        <v>79</v>
      </c>
      <c r="C49" s="7">
        <v>8.64</v>
      </c>
      <c r="D49" s="7">
        <v>7.42</v>
      </c>
      <c r="E49" s="7">
        <v>7.95</v>
      </c>
      <c r="F49" s="7">
        <v>7.02</v>
      </c>
      <c r="G49" s="7">
        <v>2660</v>
      </c>
      <c r="H49" s="7">
        <v>1255</v>
      </c>
      <c r="I49" s="7">
        <v>1663</v>
      </c>
      <c r="J49" s="7">
        <v>1087</v>
      </c>
      <c r="K49" s="7">
        <v>973</v>
      </c>
      <c r="L49" s="7">
        <v>689</v>
      </c>
      <c r="M49" s="7">
        <v>670</v>
      </c>
      <c r="N49" s="7">
        <v>7.7</v>
      </c>
      <c r="O49" s="7">
        <v>153</v>
      </c>
      <c r="P49" s="7">
        <v>69</v>
      </c>
      <c r="Q49" s="7">
        <v>73</v>
      </c>
      <c r="R49" s="7">
        <v>50</v>
      </c>
      <c r="S49" s="7">
        <v>41</v>
      </c>
      <c r="T49" s="7">
        <v>58</v>
      </c>
      <c r="U49" s="7">
        <v>60</v>
      </c>
      <c r="V49" s="7">
        <v>83</v>
      </c>
      <c r="W49" s="7">
        <v>0.45</v>
      </c>
      <c r="X49" s="7"/>
      <c r="Y49" s="7"/>
      <c r="Z49" s="7"/>
      <c r="AA49" s="7"/>
      <c r="AB49" s="7"/>
      <c r="AC49" s="7"/>
    </row>
    <row r="50" spans="1:29" ht="15.75" customHeight="1">
      <c r="A50" s="7" t="s">
        <v>240</v>
      </c>
      <c r="B50" s="7" t="s">
        <v>81</v>
      </c>
      <c r="C50" s="7">
        <v>10.54</v>
      </c>
      <c r="D50" s="7">
        <v>7.42</v>
      </c>
      <c r="E50" s="7">
        <v>10.87</v>
      </c>
      <c r="F50" s="7">
        <v>9.02</v>
      </c>
      <c r="G50" s="7">
        <v>2907</v>
      </c>
      <c r="H50" s="7">
        <v>1255</v>
      </c>
      <c r="I50" s="7">
        <v>1890</v>
      </c>
      <c r="J50" s="7">
        <v>1213</v>
      </c>
      <c r="K50" s="7">
        <v>1119</v>
      </c>
      <c r="L50" s="7">
        <v>689</v>
      </c>
      <c r="M50" s="7">
        <v>671</v>
      </c>
      <c r="N50" s="7">
        <v>7.7</v>
      </c>
      <c r="O50" s="7">
        <v>161</v>
      </c>
      <c r="P50" s="7">
        <v>69</v>
      </c>
      <c r="Q50" s="7">
        <v>59</v>
      </c>
      <c r="R50" s="7">
        <v>39</v>
      </c>
      <c r="S50" s="7">
        <v>33</v>
      </c>
      <c r="T50" s="7">
        <v>59</v>
      </c>
      <c r="U50" s="7">
        <v>60</v>
      </c>
      <c r="V50" s="7">
        <v>69</v>
      </c>
      <c r="W50" s="7">
        <v>0.45</v>
      </c>
      <c r="X50" s="7"/>
      <c r="Y50" s="7"/>
      <c r="Z50" s="7"/>
      <c r="AA50" s="7"/>
      <c r="AB50" s="7"/>
      <c r="AC50" s="7"/>
    </row>
    <row r="51" spans="1:29" ht="15.75" customHeight="1">
      <c r="A51" s="7" t="s">
        <v>241</v>
      </c>
      <c r="B51" s="7" t="s">
        <v>83</v>
      </c>
      <c r="C51" s="7">
        <v>7.29</v>
      </c>
      <c r="D51" s="7">
        <v>6.7</v>
      </c>
      <c r="E51" s="7">
        <v>7.82</v>
      </c>
      <c r="F51" s="7">
        <v>6.9</v>
      </c>
      <c r="G51" s="7">
        <v>2200</v>
      </c>
      <c r="H51" s="7">
        <v>1255</v>
      </c>
      <c r="I51" s="7">
        <v>1672</v>
      </c>
      <c r="J51" s="7">
        <v>1095</v>
      </c>
      <c r="K51" s="7">
        <v>979</v>
      </c>
      <c r="L51" s="7">
        <v>689</v>
      </c>
      <c r="M51" s="7">
        <v>671</v>
      </c>
      <c r="N51" s="7">
        <v>7.7</v>
      </c>
      <c r="O51" s="7">
        <v>131</v>
      </c>
      <c r="P51" s="7">
        <v>69</v>
      </c>
      <c r="Q51" s="7">
        <v>74</v>
      </c>
      <c r="R51" s="7">
        <v>51</v>
      </c>
      <c r="S51" s="7">
        <v>42</v>
      </c>
      <c r="T51" s="7">
        <v>59</v>
      </c>
      <c r="U51" s="7">
        <v>60</v>
      </c>
      <c r="V51" s="7">
        <v>84</v>
      </c>
      <c r="W51" s="7">
        <v>0.45</v>
      </c>
      <c r="X51" s="7"/>
      <c r="Y51" s="7"/>
      <c r="Z51" s="7"/>
      <c r="AA51" s="7"/>
      <c r="AB51" s="7"/>
      <c r="AC51" s="7"/>
    </row>
    <row r="52" spans="1:29" ht="15.75" customHeight="1">
      <c r="A52" s="7" t="s">
        <v>242</v>
      </c>
      <c r="B52" s="7" t="s">
        <v>82</v>
      </c>
      <c r="C52" s="7">
        <v>8.25</v>
      </c>
      <c r="D52" s="7">
        <v>7.42</v>
      </c>
      <c r="E52" s="7">
        <v>7.88</v>
      </c>
      <c r="F52" s="7">
        <v>6.91</v>
      </c>
      <c r="G52" s="7">
        <v>2911</v>
      </c>
      <c r="H52" s="7">
        <v>1255</v>
      </c>
      <c r="I52" s="7">
        <v>1587</v>
      </c>
      <c r="J52" s="7">
        <v>1038</v>
      </c>
      <c r="K52" s="7">
        <v>926</v>
      </c>
      <c r="L52" s="7">
        <v>689</v>
      </c>
      <c r="M52" s="7">
        <v>672</v>
      </c>
      <c r="N52" s="7">
        <v>7.7</v>
      </c>
      <c r="O52" s="7">
        <v>162</v>
      </c>
      <c r="P52" s="7">
        <v>69</v>
      </c>
      <c r="Q52" s="7">
        <v>75</v>
      </c>
      <c r="R52" s="7">
        <v>51</v>
      </c>
      <c r="S52" s="7">
        <v>43</v>
      </c>
      <c r="T52" s="7">
        <v>59</v>
      </c>
      <c r="U52" s="7">
        <v>60</v>
      </c>
      <c r="V52" s="7">
        <v>85</v>
      </c>
      <c r="W52" s="7">
        <v>0.45</v>
      </c>
      <c r="X52" s="7"/>
      <c r="Y52" s="7"/>
      <c r="Z52" s="7"/>
      <c r="AA52" s="7"/>
      <c r="AB52" s="7"/>
      <c r="AC52" s="7"/>
    </row>
    <row r="53" spans="1:29" ht="15.75" customHeight="1">
      <c r="A53" s="7" t="s">
        <v>243</v>
      </c>
      <c r="B53" s="7" t="s">
        <v>84</v>
      </c>
      <c r="C53" s="7">
        <v>8.1300000000000008</v>
      </c>
      <c r="D53" s="7">
        <v>7.42</v>
      </c>
      <c r="E53" s="7">
        <v>7.34</v>
      </c>
      <c r="F53" s="7">
        <v>6.46</v>
      </c>
      <c r="G53" s="7">
        <v>2968</v>
      </c>
      <c r="H53" s="7">
        <v>1255</v>
      </c>
      <c r="I53" s="7">
        <v>1890</v>
      </c>
      <c r="J53" s="7">
        <v>1245</v>
      </c>
      <c r="K53" s="7">
        <v>1119</v>
      </c>
      <c r="L53" s="7">
        <v>689</v>
      </c>
      <c r="M53" s="7">
        <v>671</v>
      </c>
      <c r="N53" s="7">
        <v>7.7</v>
      </c>
      <c r="O53" s="7">
        <v>164</v>
      </c>
      <c r="P53" s="7">
        <v>69</v>
      </c>
      <c r="Q53" s="7">
        <v>59</v>
      </c>
      <c r="R53" s="7">
        <v>40</v>
      </c>
      <c r="S53" s="7">
        <v>33</v>
      </c>
      <c r="T53" s="7">
        <v>59</v>
      </c>
      <c r="U53" s="7">
        <v>60</v>
      </c>
      <c r="V53" s="7">
        <v>69</v>
      </c>
      <c r="W53" s="7">
        <v>0.45</v>
      </c>
      <c r="X53" s="7"/>
      <c r="Y53" s="7"/>
      <c r="Z53" s="7"/>
      <c r="AA53" s="7"/>
      <c r="AB53" s="7"/>
      <c r="AC53" s="7"/>
    </row>
    <row r="54" spans="1:29" ht="15.75" customHeight="1">
      <c r="A54" s="7"/>
      <c r="B54" s="7"/>
      <c r="C54" s="206" t="s">
        <v>394</v>
      </c>
      <c r="D54" s="7"/>
      <c r="E54" s="7"/>
      <c r="F54" s="7"/>
      <c r="G54" s="7"/>
      <c r="H54" s="7"/>
      <c r="I54" s="7"/>
      <c r="J54" s="7"/>
      <c r="K54" s="7"/>
      <c r="L54" s="7"/>
      <c r="M54" s="7"/>
      <c r="N54" s="7"/>
      <c r="O54" s="7"/>
      <c r="P54" s="7"/>
      <c r="Q54" s="7"/>
      <c r="R54" s="7"/>
      <c r="S54" s="7"/>
      <c r="T54" s="7"/>
      <c r="U54" s="7"/>
      <c r="V54" s="7"/>
      <c r="W54" s="7"/>
      <c r="X54" s="7"/>
      <c r="Y54" s="7"/>
      <c r="Z54" s="7"/>
      <c r="AA54" s="7"/>
      <c r="AB54" s="7"/>
      <c r="AC54" s="7"/>
    </row>
    <row r="55" spans="1:29" ht="15.75" customHeight="1">
      <c r="A55" s="7" t="s">
        <v>395</v>
      </c>
      <c r="B55" s="7">
        <v>1</v>
      </c>
      <c r="C55" s="7">
        <v>2</v>
      </c>
      <c r="D55" s="7">
        <v>3</v>
      </c>
      <c r="E55" s="7">
        <v>4</v>
      </c>
      <c r="F55" s="7">
        <v>5</v>
      </c>
      <c r="G55" s="7">
        <v>6</v>
      </c>
      <c r="H55" s="7">
        <v>7</v>
      </c>
      <c r="I55" s="7">
        <v>8</v>
      </c>
      <c r="J55" s="7">
        <v>9</v>
      </c>
      <c r="K55" s="7">
        <v>10</v>
      </c>
      <c r="L55" s="7">
        <v>11</v>
      </c>
      <c r="M55" s="7">
        <v>12</v>
      </c>
      <c r="N55" s="7">
        <v>13</v>
      </c>
      <c r="O55" s="7">
        <v>14</v>
      </c>
      <c r="P55" s="7">
        <v>15</v>
      </c>
      <c r="Q55" s="7">
        <v>16</v>
      </c>
      <c r="R55" s="7">
        <v>17</v>
      </c>
      <c r="S55" s="7">
        <v>18</v>
      </c>
      <c r="T55" s="7">
        <v>19</v>
      </c>
      <c r="U55" s="7">
        <v>20</v>
      </c>
      <c r="V55" s="7">
        <v>21</v>
      </c>
      <c r="W55" s="7">
        <v>22</v>
      </c>
      <c r="X55" s="7"/>
      <c r="Y55" s="7"/>
      <c r="Z55" s="7"/>
      <c r="AA55" s="7"/>
      <c r="AB55" s="7"/>
      <c r="AC55" s="7"/>
    </row>
    <row r="56" spans="1:29"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row>
    <row r="57" spans="1:29"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row>
    <row r="58" spans="1:29" ht="15.75" customHeight="1">
      <c r="A58" s="7"/>
      <c r="B58" s="7"/>
      <c r="C58" s="7"/>
      <c r="D58" s="7"/>
      <c r="E58" s="7"/>
      <c r="F58" s="7"/>
      <c r="G58" s="7"/>
      <c r="H58" s="7"/>
      <c r="I58" s="7">
        <f t="shared" ref="I58:N58" si="0">AVERAGE(I4:I53)</f>
        <v>1706.16</v>
      </c>
      <c r="J58" s="7">
        <f t="shared" si="0"/>
        <v>1111.24</v>
      </c>
      <c r="K58" s="7">
        <f t="shared" si="0"/>
        <v>1001.1</v>
      </c>
      <c r="L58" s="7">
        <f t="shared" si="0"/>
        <v>689</v>
      </c>
      <c r="M58" s="7">
        <f t="shared" si="0"/>
        <v>671.04</v>
      </c>
      <c r="N58" s="7">
        <f t="shared" si="0"/>
        <v>7.6999999999999931</v>
      </c>
      <c r="O58" s="7"/>
      <c r="P58" s="7"/>
      <c r="Q58" s="7"/>
      <c r="R58" s="7"/>
      <c r="S58" s="7"/>
      <c r="T58" s="7"/>
      <c r="U58" s="7"/>
      <c r="V58" s="7"/>
      <c r="W58" s="7"/>
      <c r="X58" s="7"/>
      <c r="Y58" s="7"/>
      <c r="Z58" s="7"/>
      <c r="AA58" s="7"/>
      <c r="AB58" s="7"/>
      <c r="AC58" s="7"/>
    </row>
    <row r="59" spans="1:29"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row>
    <row r="60" spans="1:29"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row>
    <row r="61" spans="1:29"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row>
    <row r="62" spans="1:29"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row>
    <row r="63" spans="1:29"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row>
    <row r="64" spans="1:29"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row>
    <row r="65" spans="1:29"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row>
    <row r="66" spans="1:29"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row>
    <row r="67" spans="1:29"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row>
    <row r="68" spans="1:29"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row>
    <row r="69" spans="1:29"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row>
    <row r="70" spans="1:29"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row>
    <row r="71" spans="1:29"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row>
    <row r="72" spans="1:29"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row>
    <row r="73" spans="1:29"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row>
    <row r="74" spans="1:29"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row>
    <row r="75" spans="1:29"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row>
    <row r="76" spans="1:29"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row>
    <row r="77" spans="1:29"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row>
    <row r="78" spans="1:29"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row>
    <row r="79" spans="1:29"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row>
    <row r="80" spans="1:29"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row>
    <row r="81" spans="1:29"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row>
    <row r="82" spans="1:29"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row>
    <row r="83" spans="1:29"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row>
    <row r="84" spans="1:29"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row>
    <row r="85" spans="1:29"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row>
    <row r="86" spans="1:29"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row>
    <row r="87" spans="1:29"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row>
    <row r="88" spans="1:29"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row>
    <row r="89" spans="1:29"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row>
    <row r="90" spans="1:29"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row>
    <row r="91" spans="1:29"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row>
    <row r="92" spans="1:29"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row>
    <row r="93" spans="1:29"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row>
    <row r="94" spans="1:29"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row>
    <row r="95" spans="1:29"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row>
    <row r="96" spans="1:29"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row>
    <row r="97" spans="1:29"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row>
    <row r="98" spans="1:29"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row>
    <row r="99" spans="1:29"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row>
    <row r="100" spans="1:29"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row>
    <row r="101" spans="1:29"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row>
    <row r="102" spans="1:29"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row>
    <row r="103" spans="1:29"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row>
    <row r="104" spans="1:29"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row>
    <row r="105" spans="1:29"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row>
    <row r="106" spans="1:29"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row>
    <row r="107" spans="1:29"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row>
    <row r="108" spans="1:29"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row>
    <row r="109" spans="1:29"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row>
    <row r="110" spans="1:29"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row>
    <row r="111" spans="1:29"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row>
    <row r="112" spans="1:29"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row>
    <row r="113" spans="1:29"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row>
    <row r="114" spans="1:29"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row>
    <row r="115" spans="1:29"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row>
    <row r="116" spans="1:29"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row>
    <row r="117" spans="1:29"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row>
    <row r="118" spans="1:29"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row>
    <row r="119" spans="1:29"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row>
    <row r="120" spans="1:29"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row>
    <row r="121" spans="1:29"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row>
    <row r="122" spans="1:29"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row>
    <row r="123" spans="1:29"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row>
    <row r="124" spans="1:29"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row>
    <row r="125" spans="1:29"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row>
    <row r="126" spans="1:29"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row>
    <row r="127" spans="1:29"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row>
    <row r="128" spans="1:29"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row>
    <row r="129" spans="1:29"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row>
    <row r="130" spans="1:29"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row>
    <row r="131" spans="1:29"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row>
    <row r="132" spans="1:29"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row>
    <row r="133" spans="1:29"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row>
    <row r="134" spans="1:29"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row>
    <row r="135" spans="1:29"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row>
    <row r="136" spans="1:29"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row>
    <row r="137" spans="1:29"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row>
    <row r="138" spans="1:29"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row>
    <row r="139" spans="1:29"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row>
    <row r="140" spans="1:29"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row>
    <row r="141" spans="1:29"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row>
    <row r="142" spans="1:29"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row>
    <row r="143" spans="1:29"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row>
    <row r="144" spans="1:29"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row>
    <row r="145" spans="1:29"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row>
    <row r="146" spans="1:29"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row>
    <row r="147" spans="1:29"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row>
    <row r="148" spans="1:29"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row>
    <row r="149" spans="1:29"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row>
    <row r="150" spans="1:29"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row>
    <row r="151" spans="1:29"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row>
    <row r="152" spans="1:29"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row>
    <row r="153" spans="1:29"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row>
    <row r="154" spans="1:29"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row>
    <row r="155" spans="1:29"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row>
    <row r="156" spans="1:29"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row>
    <row r="157" spans="1:29"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row>
    <row r="158" spans="1:29"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row>
    <row r="159" spans="1:29"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row>
    <row r="160" spans="1:29"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row>
    <row r="161" spans="1:29"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row>
    <row r="162" spans="1:29"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row>
    <row r="163" spans="1:29"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row>
    <row r="164" spans="1:29"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row>
    <row r="165" spans="1:29"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row>
    <row r="166" spans="1:29"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row>
    <row r="167" spans="1:29"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row>
    <row r="168" spans="1:29"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row>
    <row r="169" spans="1:29"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row>
    <row r="170" spans="1:29"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row>
    <row r="171" spans="1:29"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row>
    <row r="172" spans="1:29"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row>
    <row r="173" spans="1:29"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row>
    <row r="174" spans="1:29"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row>
    <row r="175" spans="1:29"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row>
    <row r="176" spans="1:29"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row>
    <row r="177" spans="1:29"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row>
    <row r="178" spans="1:29"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row>
    <row r="179" spans="1:29"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row>
    <row r="180" spans="1:29"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row>
    <row r="181" spans="1:29"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row>
    <row r="182" spans="1:29"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row>
    <row r="183" spans="1:29"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row>
    <row r="184" spans="1:29"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row>
    <row r="185" spans="1:29"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row>
    <row r="186" spans="1:29"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row>
    <row r="187" spans="1:29"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row>
    <row r="188" spans="1:29"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row>
    <row r="189" spans="1:29"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row>
    <row r="190" spans="1:29"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row>
    <row r="191" spans="1:29"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row>
    <row r="192" spans="1:29"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row>
    <row r="193" spans="1:29"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row>
    <row r="194" spans="1:29"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row>
    <row r="195" spans="1:29"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row>
    <row r="196" spans="1:29"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row>
    <row r="197" spans="1:29"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row>
    <row r="198" spans="1:29"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row>
    <row r="199" spans="1:29"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row>
    <row r="200" spans="1:29"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row>
    <row r="201" spans="1:29"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row>
    <row r="202" spans="1:29"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row>
    <row r="203" spans="1:29"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row>
    <row r="204" spans="1:29"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row>
    <row r="205" spans="1:29"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row>
    <row r="206" spans="1:29"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row>
    <row r="207" spans="1:29"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row>
    <row r="208" spans="1:29"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row>
    <row r="209" spans="1:29"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row>
    <row r="210" spans="1:29"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row>
    <row r="211" spans="1:29"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row>
    <row r="212" spans="1:29"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row>
    <row r="213" spans="1:29"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row>
    <row r="214" spans="1:29"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row>
    <row r="215" spans="1:29"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row>
    <row r="216" spans="1:29"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row>
    <row r="217" spans="1:29"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row>
    <row r="218" spans="1:29"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row>
    <row r="219" spans="1:29"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row>
    <row r="220" spans="1:29"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row>
    <row r="221" spans="1:29"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row>
    <row r="222" spans="1:29"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row>
    <row r="223" spans="1:29"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29"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1:29"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1:29"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1:29"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1:29"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1:29"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1:29"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row>
    <row r="231" spans="1:29"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row>
    <row r="232" spans="1:29"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row>
    <row r="233" spans="1:29"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row>
    <row r="234" spans="1:29"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row>
    <row r="235" spans="1:29"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row>
    <row r="236" spans="1:29"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row>
    <row r="237" spans="1:29"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row>
    <row r="238" spans="1:29"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row>
    <row r="239" spans="1:2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row>
    <row r="240" spans="1:29"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row>
    <row r="241" spans="1:29"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row>
    <row r="242" spans="1:29"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row>
    <row r="243" spans="1:29"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row>
    <row r="244" spans="1:29"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row>
    <row r="245" spans="1:29"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row>
    <row r="246" spans="1:29"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row>
    <row r="247" spans="1:29"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row>
    <row r="248" spans="1:29"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row>
    <row r="249" spans="1:2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row>
    <row r="250" spans="1:29"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row>
    <row r="251" spans="1:29"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row>
    <row r="252" spans="1:29"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row>
    <row r="253" spans="1:29"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row>
    <row r="254" spans="1:29"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row>
    <row r="255" spans="1:29"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row>
    <row r="256" spans="1:2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C54" r:id="rId1"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outlinePr summaryBelow="0" summaryRight="0"/>
  </sheetPr>
  <dimension ref="A1:W1000"/>
  <sheetViews>
    <sheetView workbookViewId="0"/>
  </sheetViews>
  <sheetFormatPr baseColWidth="10" defaultColWidth="12.6640625" defaultRowHeight="15" customHeight="1"/>
  <cols>
    <col min="1" max="1" width="33.5" customWidth="1"/>
    <col min="2" max="2" width="49.33203125" customWidth="1"/>
  </cols>
  <sheetData>
    <row r="1" spans="1:23" ht="15.75" customHeight="1">
      <c r="A1" s="196" t="s">
        <v>396</v>
      </c>
      <c r="B1" s="45" t="s">
        <v>397</v>
      </c>
      <c r="C1" s="45" t="s">
        <v>398</v>
      </c>
      <c r="D1" s="45"/>
      <c r="E1" s="45"/>
      <c r="F1" s="45"/>
      <c r="G1" s="45"/>
      <c r="H1" s="45"/>
      <c r="I1" s="45"/>
      <c r="J1" s="45"/>
      <c r="K1" s="45"/>
      <c r="L1" s="45"/>
      <c r="M1" s="45"/>
      <c r="N1" s="45"/>
      <c r="O1" s="45"/>
      <c r="P1" s="45"/>
      <c r="Q1" s="45"/>
      <c r="R1" s="45"/>
      <c r="S1" s="45"/>
      <c r="T1" s="45"/>
      <c r="U1" s="45"/>
      <c r="V1" s="45"/>
      <c r="W1" s="45"/>
    </row>
    <row r="2" spans="1:23" ht="15.75" customHeight="1">
      <c r="A2" s="196" t="s">
        <v>399</v>
      </c>
      <c r="B2" s="45" t="s">
        <v>400</v>
      </c>
      <c r="C2" s="45" t="s">
        <v>401</v>
      </c>
      <c r="D2" s="45"/>
      <c r="E2" s="45"/>
      <c r="F2" s="45"/>
      <c r="G2" s="45"/>
      <c r="H2" s="45"/>
      <c r="I2" s="45"/>
      <c r="J2" s="45"/>
      <c r="K2" s="45"/>
      <c r="L2" s="45"/>
      <c r="M2" s="45"/>
      <c r="N2" s="45"/>
      <c r="O2" s="45"/>
      <c r="P2" s="45"/>
      <c r="Q2" s="45"/>
      <c r="R2" s="45"/>
      <c r="S2" s="45"/>
      <c r="T2" s="45"/>
      <c r="U2" s="45"/>
      <c r="V2" s="45"/>
      <c r="W2" s="45"/>
    </row>
    <row r="3" spans="1:23" ht="15.75" customHeight="1">
      <c r="A3" s="196" t="s">
        <v>402</v>
      </c>
      <c r="B3" s="45" t="s">
        <v>403</v>
      </c>
      <c r="C3" s="45"/>
      <c r="D3" s="45"/>
      <c r="E3" s="45"/>
      <c r="F3" s="45"/>
      <c r="G3" s="45"/>
      <c r="H3" s="45"/>
      <c r="I3" s="45"/>
      <c r="J3" s="45"/>
      <c r="K3" s="45"/>
      <c r="L3" s="45"/>
      <c r="M3" s="45"/>
      <c r="N3" s="45"/>
      <c r="O3" s="45"/>
      <c r="P3" s="45"/>
      <c r="Q3" s="45"/>
      <c r="R3" s="45"/>
      <c r="S3" s="45"/>
      <c r="T3" s="45"/>
      <c r="U3" s="45"/>
      <c r="V3" s="45"/>
      <c r="W3" s="45"/>
    </row>
    <row r="4" spans="1:23" ht="15.75" customHeight="1">
      <c r="A4" s="196" t="s">
        <v>404</v>
      </c>
      <c r="B4" s="45" t="s">
        <v>405</v>
      </c>
      <c r="C4" s="45"/>
      <c r="D4" s="45"/>
      <c r="E4" s="45"/>
      <c r="F4" s="45"/>
      <c r="G4" s="45"/>
      <c r="H4" s="45"/>
      <c r="I4" s="45"/>
      <c r="J4" s="45"/>
      <c r="K4" s="45"/>
      <c r="L4" s="45"/>
      <c r="M4" s="45"/>
      <c r="N4" s="45"/>
      <c r="O4" s="45"/>
      <c r="P4" s="45"/>
      <c r="Q4" s="45"/>
      <c r="R4" s="45"/>
      <c r="S4" s="45"/>
      <c r="T4" s="45"/>
      <c r="U4" s="45"/>
      <c r="V4" s="45"/>
      <c r="W4" s="45"/>
    </row>
    <row r="5" spans="1:23" ht="15.75" customHeight="1">
      <c r="A5" s="196" t="s">
        <v>406</v>
      </c>
      <c r="B5" s="45" t="s">
        <v>407</v>
      </c>
      <c r="C5" s="45" t="s">
        <v>408</v>
      </c>
      <c r="D5" s="45"/>
      <c r="E5" s="45"/>
      <c r="F5" s="45"/>
      <c r="G5" s="45"/>
      <c r="H5" s="45"/>
      <c r="I5" s="45"/>
      <c r="J5" s="45"/>
      <c r="K5" s="45"/>
      <c r="L5" s="45"/>
      <c r="M5" s="45"/>
      <c r="N5" s="45"/>
      <c r="O5" s="45"/>
      <c r="P5" s="45"/>
      <c r="Q5" s="45"/>
      <c r="R5" s="45"/>
      <c r="S5" s="45"/>
      <c r="T5" s="45"/>
      <c r="U5" s="45"/>
      <c r="V5" s="45"/>
      <c r="W5" s="45"/>
    </row>
    <row r="6" spans="1:23" ht="15.75" customHeight="1">
      <c r="A6" s="196" t="s">
        <v>409</v>
      </c>
      <c r="B6" s="45" t="s">
        <v>410</v>
      </c>
      <c r="C6" s="45"/>
      <c r="D6" s="45"/>
      <c r="E6" s="45"/>
      <c r="F6" s="45"/>
      <c r="G6" s="45"/>
      <c r="H6" s="45"/>
      <c r="I6" s="45"/>
      <c r="J6" s="45"/>
      <c r="K6" s="45"/>
      <c r="L6" s="45"/>
      <c r="M6" s="45"/>
      <c r="N6" s="45"/>
      <c r="O6" s="45"/>
      <c r="P6" s="45"/>
      <c r="Q6" s="45"/>
      <c r="R6" s="45"/>
      <c r="S6" s="45"/>
      <c r="T6" s="45"/>
      <c r="U6" s="45"/>
      <c r="V6" s="45"/>
      <c r="W6" s="45"/>
    </row>
    <row r="7" spans="1:23" ht="15.75" customHeight="1">
      <c r="A7" s="207" t="s">
        <v>411</v>
      </c>
      <c r="B7" s="208" t="s">
        <v>412</v>
      </c>
      <c r="C7" s="208"/>
      <c r="D7" s="208"/>
      <c r="E7" s="208"/>
      <c r="F7" s="208"/>
      <c r="G7" s="208"/>
      <c r="H7" s="208"/>
      <c r="I7" s="208"/>
      <c r="J7" s="208"/>
      <c r="K7" s="208"/>
      <c r="L7" s="208"/>
      <c r="M7" s="208"/>
      <c r="N7" s="208"/>
      <c r="O7" s="208"/>
      <c r="P7" s="208"/>
      <c r="Q7" s="208"/>
      <c r="R7" s="208"/>
      <c r="S7" s="208"/>
      <c r="T7" s="208"/>
      <c r="U7" s="208"/>
      <c r="V7" s="208"/>
      <c r="W7" s="208"/>
    </row>
    <row r="8" spans="1:23" ht="15.75" customHeight="1">
      <c r="A8" s="207" t="s">
        <v>413</v>
      </c>
      <c r="B8" s="208" t="s">
        <v>414</v>
      </c>
      <c r="C8" s="208"/>
      <c r="D8" s="208"/>
      <c r="E8" s="208"/>
      <c r="F8" s="208"/>
      <c r="G8" s="208"/>
      <c r="H8" s="208"/>
      <c r="I8" s="208"/>
      <c r="J8" s="208"/>
      <c r="K8" s="208"/>
      <c r="L8" s="208"/>
      <c r="M8" s="208"/>
      <c r="N8" s="208"/>
      <c r="O8" s="208"/>
      <c r="P8" s="208"/>
      <c r="Q8" s="208"/>
      <c r="R8" s="208"/>
      <c r="S8" s="208"/>
      <c r="T8" s="208"/>
      <c r="U8" s="208"/>
      <c r="V8" s="208"/>
      <c r="W8" s="208"/>
    </row>
    <row r="9" spans="1:23" ht="15.75" customHeight="1">
      <c r="A9" s="207" t="s">
        <v>415</v>
      </c>
      <c r="B9" s="208"/>
      <c r="C9" s="208" t="s">
        <v>416</v>
      </c>
      <c r="D9" s="208"/>
      <c r="E9" s="208"/>
      <c r="F9" s="208"/>
      <c r="G9" s="208"/>
      <c r="H9" s="208"/>
      <c r="I9" s="208"/>
      <c r="J9" s="208"/>
      <c r="K9" s="208"/>
      <c r="L9" s="208"/>
      <c r="M9" s="208"/>
      <c r="N9" s="208"/>
      <c r="O9" s="208"/>
      <c r="P9" s="208"/>
      <c r="Q9" s="208"/>
      <c r="R9" s="208"/>
      <c r="S9" s="208"/>
      <c r="T9" s="208"/>
      <c r="U9" s="208"/>
      <c r="V9" s="208"/>
      <c r="W9" s="208"/>
    </row>
    <row r="10" spans="1:23" ht="15.75" customHeight="1">
      <c r="A10" s="207" t="s">
        <v>417</v>
      </c>
      <c r="B10" s="209" t="s">
        <v>418</v>
      </c>
      <c r="C10" s="208" t="s">
        <v>419</v>
      </c>
      <c r="D10" s="208"/>
      <c r="E10" s="208"/>
      <c r="F10" s="208"/>
      <c r="G10" s="208"/>
      <c r="H10" s="208"/>
      <c r="I10" s="208"/>
      <c r="J10" s="208"/>
      <c r="K10" s="208"/>
      <c r="L10" s="208"/>
      <c r="M10" s="208"/>
      <c r="N10" s="208"/>
      <c r="O10" s="208"/>
      <c r="P10" s="208"/>
      <c r="Q10" s="208"/>
      <c r="R10" s="208"/>
      <c r="S10" s="208"/>
      <c r="T10" s="208"/>
      <c r="U10" s="208"/>
      <c r="V10" s="208"/>
      <c r="W10" s="208"/>
    </row>
    <row r="11" spans="1:23" ht="15.75" customHeight="1">
      <c r="A11" s="45"/>
      <c r="B11" s="210"/>
      <c r="C11" s="45"/>
      <c r="D11" s="45"/>
      <c r="E11" s="45"/>
      <c r="F11" s="45"/>
      <c r="G11" s="45"/>
      <c r="H11" s="45"/>
      <c r="I11" s="45"/>
      <c r="J11" s="45"/>
      <c r="K11" s="45"/>
      <c r="L11" s="45"/>
      <c r="M11" s="45"/>
      <c r="N11" s="45"/>
      <c r="O11" s="45"/>
      <c r="P11" s="45"/>
      <c r="Q11" s="45"/>
      <c r="R11" s="45"/>
      <c r="S11" s="45"/>
      <c r="T11" s="45"/>
      <c r="U11" s="45"/>
      <c r="V11" s="45"/>
      <c r="W11" s="45"/>
    </row>
    <row r="12" spans="1:23" ht="15.75" customHeight="1">
      <c r="A12" s="45"/>
      <c r="B12" s="45"/>
      <c r="C12" s="45"/>
      <c r="D12" s="45"/>
      <c r="E12" s="45"/>
      <c r="F12" s="45"/>
      <c r="G12" s="45"/>
      <c r="H12" s="45"/>
      <c r="I12" s="45"/>
      <c r="J12" s="45"/>
      <c r="K12" s="45"/>
      <c r="L12" s="45"/>
      <c r="M12" s="45"/>
      <c r="N12" s="45"/>
      <c r="O12" s="45"/>
      <c r="P12" s="45"/>
      <c r="Q12" s="45"/>
      <c r="R12" s="45"/>
      <c r="S12" s="45"/>
      <c r="T12" s="45"/>
      <c r="U12" s="45"/>
      <c r="V12" s="45"/>
      <c r="W12" s="45"/>
    </row>
    <row r="13" spans="1:23" ht="15.75" customHeight="1">
      <c r="A13" s="45"/>
      <c r="B13" s="45"/>
      <c r="C13" s="45"/>
      <c r="D13" s="45"/>
      <c r="E13" s="45"/>
      <c r="F13" s="45"/>
      <c r="G13" s="45"/>
      <c r="H13" s="45"/>
      <c r="I13" s="45"/>
      <c r="J13" s="45"/>
      <c r="K13" s="45"/>
      <c r="L13" s="45"/>
      <c r="M13" s="45"/>
      <c r="N13" s="45"/>
      <c r="O13" s="45"/>
      <c r="P13" s="45"/>
      <c r="Q13" s="45"/>
      <c r="R13" s="45"/>
      <c r="S13" s="45"/>
      <c r="T13" s="45"/>
      <c r="U13" s="45"/>
      <c r="V13" s="45"/>
      <c r="W13" s="45"/>
    </row>
    <row r="14" spans="1:23" ht="15.75" customHeight="1">
      <c r="A14" s="45"/>
      <c r="B14" s="45"/>
      <c r="C14" s="45"/>
      <c r="D14" s="45"/>
      <c r="E14" s="45"/>
      <c r="F14" s="45"/>
      <c r="G14" s="45"/>
      <c r="H14" s="45"/>
      <c r="I14" s="45"/>
      <c r="J14" s="45"/>
      <c r="K14" s="45"/>
      <c r="L14" s="45"/>
      <c r="M14" s="45"/>
      <c r="N14" s="45"/>
      <c r="O14" s="45"/>
      <c r="P14" s="45"/>
      <c r="Q14" s="45"/>
      <c r="R14" s="45"/>
      <c r="S14" s="45"/>
      <c r="T14" s="45"/>
      <c r="U14" s="45"/>
      <c r="V14" s="45"/>
      <c r="W14" s="45"/>
    </row>
    <row r="15" spans="1:23" ht="15.75" customHeight="1">
      <c r="A15" s="45"/>
      <c r="B15" s="45"/>
      <c r="C15" s="45"/>
      <c r="D15" s="45"/>
      <c r="E15" s="45"/>
      <c r="F15" s="45"/>
      <c r="G15" s="45"/>
      <c r="H15" s="45"/>
      <c r="I15" s="45"/>
      <c r="J15" s="45"/>
      <c r="K15" s="45"/>
      <c r="L15" s="45"/>
      <c r="M15" s="45"/>
      <c r="N15" s="45"/>
      <c r="O15" s="45"/>
      <c r="P15" s="45"/>
      <c r="Q15" s="45"/>
      <c r="R15" s="45"/>
      <c r="S15" s="45"/>
      <c r="T15" s="45"/>
      <c r="U15" s="45"/>
      <c r="V15" s="45"/>
      <c r="W15" s="45"/>
    </row>
    <row r="16" spans="1:23" ht="15.75" customHeight="1">
      <c r="A16" s="45"/>
      <c r="B16" s="45"/>
      <c r="C16" s="45"/>
      <c r="D16" s="45"/>
      <c r="E16" s="45"/>
      <c r="F16" s="45"/>
      <c r="G16" s="45"/>
      <c r="H16" s="45"/>
      <c r="I16" s="45"/>
      <c r="J16" s="45"/>
      <c r="K16" s="45"/>
      <c r="L16" s="45"/>
      <c r="M16" s="45"/>
      <c r="N16" s="45"/>
      <c r="O16" s="45"/>
      <c r="P16" s="45"/>
      <c r="Q16" s="45"/>
      <c r="R16" s="45"/>
      <c r="S16" s="45"/>
      <c r="T16" s="45"/>
      <c r="U16" s="45"/>
      <c r="V16" s="45"/>
      <c r="W16" s="45"/>
    </row>
    <row r="17" spans="1:23" ht="15.75" customHeight="1">
      <c r="A17" s="45"/>
      <c r="B17" s="45"/>
      <c r="C17" s="45"/>
      <c r="D17" s="45"/>
      <c r="E17" s="45"/>
      <c r="F17" s="45"/>
      <c r="G17" s="45"/>
      <c r="H17" s="45"/>
      <c r="I17" s="45"/>
      <c r="J17" s="45"/>
      <c r="K17" s="45"/>
      <c r="L17" s="45"/>
      <c r="M17" s="45"/>
      <c r="N17" s="45"/>
      <c r="O17" s="45"/>
      <c r="P17" s="45"/>
      <c r="Q17" s="45"/>
      <c r="R17" s="45"/>
      <c r="S17" s="45"/>
      <c r="T17" s="45"/>
      <c r="U17" s="45"/>
      <c r="V17" s="45"/>
      <c r="W17" s="45"/>
    </row>
    <row r="18" spans="1:23" ht="15.75" customHeight="1">
      <c r="A18" s="45"/>
      <c r="B18" s="45"/>
      <c r="C18" s="45"/>
      <c r="D18" s="45"/>
      <c r="E18" s="45"/>
      <c r="F18" s="45"/>
      <c r="G18" s="45"/>
      <c r="H18" s="45"/>
      <c r="I18" s="45"/>
      <c r="J18" s="45"/>
      <c r="K18" s="45"/>
      <c r="L18" s="45"/>
      <c r="M18" s="45"/>
      <c r="N18" s="45"/>
      <c r="O18" s="45"/>
      <c r="P18" s="45"/>
      <c r="Q18" s="45"/>
      <c r="R18" s="45"/>
      <c r="S18" s="45"/>
      <c r="T18" s="45"/>
      <c r="U18" s="45"/>
      <c r="V18" s="45"/>
      <c r="W18" s="45"/>
    </row>
    <row r="19" spans="1:23" ht="15.75" customHeight="1">
      <c r="A19" s="45"/>
      <c r="B19" s="45"/>
      <c r="C19" s="45"/>
      <c r="D19" s="45"/>
      <c r="E19" s="45"/>
      <c r="F19" s="45"/>
      <c r="G19" s="45"/>
      <c r="H19" s="45"/>
      <c r="I19" s="45"/>
      <c r="J19" s="45"/>
      <c r="K19" s="45"/>
      <c r="L19" s="45"/>
      <c r="M19" s="45"/>
      <c r="N19" s="45"/>
      <c r="O19" s="45"/>
      <c r="P19" s="45"/>
      <c r="Q19" s="45"/>
      <c r="R19" s="45"/>
      <c r="S19" s="45"/>
      <c r="T19" s="45"/>
      <c r="U19" s="45"/>
      <c r="V19" s="45"/>
      <c r="W19" s="45"/>
    </row>
    <row r="20" spans="1:23" ht="15.75" customHeight="1">
      <c r="A20" s="45"/>
      <c r="B20" s="45"/>
      <c r="C20" s="45"/>
      <c r="D20" s="45"/>
      <c r="E20" s="45"/>
      <c r="F20" s="45"/>
      <c r="G20" s="45"/>
      <c r="H20" s="45"/>
      <c r="I20" s="45"/>
      <c r="J20" s="45"/>
      <c r="K20" s="45"/>
      <c r="L20" s="45"/>
      <c r="M20" s="45"/>
      <c r="N20" s="45"/>
      <c r="O20" s="45"/>
      <c r="P20" s="45"/>
      <c r="Q20" s="45"/>
      <c r="R20" s="45"/>
      <c r="S20" s="45"/>
      <c r="T20" s="45"/>
      <c r="U20" s="45"/>
      <c r="V20" s="45"/>
      <c r="W20" s="45"/>
    </row>
    <row r="21" spans="1:23" ht="15.75" customHeight="1">
      <c r="A21" s="45"/>
      <c r="B21" s="45"/>
      <c r="C21" s="45"/>
      <c r="D21" s="45"/>
      <c r="E21" s="45"/>
      <c r="F21" s="45"/>
      <c r="G21" s="45"/>
      <c r="H21" s="45"/>
      <c r="I21" s="45"/>
      <c r="J21" s="45"/>
      <c r="K21" s="45"/>
      <c r="L21" s="45"/>
      <c r="M21" s="45"/>
      <c r="N21" s="45"/>
      <c r="O21" s="45"/>
      <c r="P21" s="45"/>
      <c r="Q21" s="45"/>
      <c r="R21" s="45"/>
      <c r="S21" s="45"/>
      <c r="T21" s="45"/>
      <c r="U21" s="45"/>
      <c r="V21" s="45"/>
      <c r="W21" s="45"/>
    </row>
    <row r="22" spans="1:23" ht="15.75" customHeight="1">
      <c r="A22" s="45"/>
      <c r="B22" s="45"/>
      <c r="C22" s="45"/>
      <c r="D22" s="45"/>
      <c r="E22" s="45"/>
      <c r="F22" s="45"/>
      <c r="G22" s="45"/>
      <c r="H22" s="45"/>
      <c r="I22" s="45"/>
      <c r="J22" s="45"/>
      <c r="K22" s="45"/>
      <c r="L22" s="45"/>
      <c r="M22" s="45"/>
      <c r="N22" s="45"/>
      <c r="O22" s="45"/>
      <c r="P22" s="45"/>
      <c r="Q22" s="45"/>
      <c r="R22" s="45"/>
      <c r="S22" s="45"/>
      <c r="T22" s="45"/>
      <c r="U22" s="45"/>
      <c r="V22" s="45"/>
      <c r="W22" s="45"/>
    </row>
    <row r="23" spans="1:23" ht="15.75" customHeight="1">
      <c r="A23" s="45"/>
      <c r="B23" s="45"/>
      <c r="C23" s="45"/>
      <c r="D23" s="45"/>
      <c r="E23" s="45"/>
      <c r="F23" s="45"/>
      <c r="G23" s="45"/>
      <c r="H23" s="45"/>
      <c r="I23" s="45"/>
      <c r="J23" s="45"/>
      <c r="K23" s="45"/>
      <c r="L23" s="45"/>
      <c r="M23" s="45"/>
      <c r="N23" s="45"/>
      <c r="O23" s="45"/>
      <c r="P23" s="45"/>
      <c r="Q23" s="45"/>
      <c r="R23" s="45"/>
      <c r="S23" s="45"/>
      <c r="T23" s="45"/>
      <c r="U23" s="45"/>
      <c r="V23" s="45"/>
      <c r="W23" s="45"/>
    </row>
    <row r="24" spans="1:23" ht="15.75" customHeight="1">
      <c r="A24" s="45"/>
      <c r="B24" s="45"/>
      <c r="C24" s="45"/>
      <c r="D24" s="45"/>
      <c r="E24" s="45"/>
      <c r="F24" s="45"/>
      <c r="G24" s="45"/>
      <c r="H24" s="45"/>
      <c r="I24" s="45"/>
      <c r="J24" s="45"/>
      <c r="K24" s="45"/>
      <c r="L24" s="45"/>
      <c r="M24" s="45"/>
      <c r="N24" s="45"/>
      <c r="O24" s="45"/>
      <c r="P24" s="45"/>
      <c r="Q24" s="45"/>
      <c r="R24" s="45"/>
      <c r="S24" s="45"/>
      <c r="T24" s="45"/>
      <c r="U24" s="45"/>
      <c r="V24" s="45"/>
      <c r="W24" s="45"/>
    </row>
    <row r="25" spans="1:23" ht="15.75" customHeight="1">
      <c r="A25" s="45"/>
      <c r="B25" s="45"/>
      <c r="C25" s="45"/>
      <c r="D25" s="45"/>
      <c r="E25" s="45"/>
      <c r="F25" s="45"/>
      <c r="G25" s="45"/>
      <c r="H25" s="45"/>
      <c r="I25" s="45"/>
      <c r="J25" s="45"/>
      <c r="K25" s="45"/>
      <c r="L25" s="45"/>
      <c r="M25" s="45"/>
      <c r="N25" s="45"/>
      <c r="O25" s="45"/>
      <c r="P25" s="45"/>
      <c r="Q25" s="45"/>
      <c r="R25" s="45"/>
      <c r="S25" s="45"/>
      <c r="T25" s="45"/>
      <c r="U25" s="45"/>
      <c r="V25" s="45"/>
      <c r="W25" s="45"/>
    </row>
    <row r="26" spans="1:23" ht="15.75" customHeight="1">
      <c r="A26" s="45"/>
      <c r="B26" s="45"/>
      <c r="C26" s="45"/>
      <c r="D26" s="45"/>
      <c r="E26" s="45"/>
      <c r="F26" s="45"/>
      <c r="G26" s="45"/>
      <c r="H26" s="45"/>
      <c r="I26" s="45"/>
      <c r="J26" s="45"/>
      <c r="K26" s="45"/>
      <c r="L26" s="45"/>
      <c r="M26" s="45"/>
      <c r="N26" s="45"/>
      <c r="O26" s="45"/>
      <c r="P26" s="45"/>
      <c r="Q26" s="45"/>
      <c r="R26" s="45"/>
      <c r="S26" s="45"/>
      <c r="T26" s="45"/>
      <c r="U26" s="45"/>
      <c r="V26" s="45"/>
      <c r="W26" s="45"/>
    </row>
    <row r="27" spans="1:23" ht="15.75" customHeight="1">
      <c r="A27" s="45"/>
      <c r="B27" s="45"/>
      <c r="C27" s="45"/>
      <c r="D27" s="45"/>
      <c r="E27" s="45"/>
      <c r="F27" s="45"/>
      <c r="G27" s="45"/>
      <c r="H27" s="45"/>
      <c r="I27" s="45"/>
      <c r="J27" s="45"/>
      <c r="K27" s="45"/>
      <c r="L27" s="45"/>
      <c r="M27" s="45"/>
      <c r="N27" s="45"/>
      <c r="O27" s="45"/>
      <c r="P27" s="45"/>
      <c r="Q27" s="45"/>
      <c r="R27" s="45"/>
      <c r="S27" s="45"/>
      <c r="T27" s="45"/>
      <c r="U27" s="45"/>
      <c r="V27" s="45"/>
      <c r="W27" s="45"/>
    </row>
    <row r="28" spans="1:23" ht="15.75" customHeight="1">
      <c r="A28" s="45"/>
      <c r="B28" s="45"/>
      <c r="C28" s="45"/>
      <c r="D28" s="45"/>
      <c r="E28" s="45"/>
      <c r="F28" s="45"/>
      <c r="G28" s="45"/>
      <c r="H28" s="45"/>
      <c r="I28" s="45"/>
      <c r="J28" s="45"/>
      <c r="K28" s="45"/>
      <c r="L28" s="45"/>
      <c r="M28" s="45"/>
      <c r="N28" s="45"/>
      <c r="O28" s="45"/>
      <c r="P28" s="45"/>
      <c r="Q28" s="45"/>
      <c r="R28" s="45"/>
      <c r="S28" s="45"/>
      <c r="T28" s="45"/>
      <c r="U28" s="45"/>
      <c r="V28" s="45"/>
      <c r="W28" s="45"/>
    </row>
    <row r="29" spans="1:23" ht="15.75" customHeight="1">
      <c r="A29" s="45"/>
      <c r="B29" s="45"/>
      <c r="C29" s="45"/>
      <c r="D29" s="45"/>
      <c r="E29" s="45"/>
      <c r="F29" s="45"/>
      <c r="G29" s="45"/>
      <c r="H29" s="45"/>
      <c r="I29" s="45"/>
      <c r="J29" s="45"/>
      <c r="K29" s="45"/>
      <c r="L29" s="45"/>
      <c r="M29" s="45"/>
      <c r="N29" s="45"/>
      <c r="O29" s="45"/>
      <c r="P29" s="45"/>
      <c r="Q29" s="45"/>
      <c r="R29" s="45"/>
      <c r="S29" s="45"/>
      <c r="T29" s="45"/>
      <c r="U29" s="45"/>
      <c r="V29" s="45"/>
      <c r="W29" s="45"/>
    </row>
    <row r="30" spans="1:23" ht="15.75" customHeight="1">
      <c r="A30" s="45"/>
      <c r="B30" s="45"/>
      <c r="C30" s="45"/>
      <c r="D30" s="45"/>
      <c r="E30" s="45"/>
      <c r="F30" s="45"/>
      <c r="G30" s="45"/>
      <c r="H30" s="45"/>
      <c r="I30" s="45"/>
      <c r="J30" s="45"/>
      <c r="K30" s="45"/>
      <c r="L30" s="45"/>
      <c r="M30" s="45"/>
      <c r="N30" s="45"/>
      <c r="O30" s="45"/>
      <c r="P30" s="45"/>
      <c r="Q30" s="45"/>
      <c r="R30" s="45"/>
      <c r="S30" s="45"/>
      <c r="T30" s="45"/>
      <c r="U30" s="45"/>
      <c r="V30" s="45"/>
      <c r="W30" s="45"/>
    </row>
    <row r="31" spans="1:23" ht="15.75" customHeight="1">
      <c r="A31" s="45"/>
      <c r="B31" s="45"/>
      <c r="C31" s="45"/>
      <c r="D31" s="45"/>
      <c r="E31" s="45"/>
      <c r="F31" s="45"/>
      <c r="G31" s="45"/>
      <c r="H31" s="45"/>
      <c r="I31" s="45"/>
      <c r="J31" s="45"/>
      <c r="K31" s="45"/>
      <c r="L31" s="45"/>
      <c r="M31" s="45"/>
      <c r="N31" s="45"/>
      <c r="O31" s="45"/>
      <c r="P31" s="45"/>
      <c r="Q31" s="45"/>
      <c r="R31" s="45"/>
      <c r="S31" s="45"/>
      <c r="T31" s="45"/>
      <c r="U31" s="45"/>
      <c r="V31" s="45"/>
      <c r="W31" s="45"/>
    </row>
    <row r="32" spans="1:23" ht="15.75" customHeight="1">
      <c r="A32" s="45"/>
      <c r="B32" s="45"/>
      <c r="C32" s="45"/>
      <c r="D32" s="45"/>
      <c r="E32" s="45"/>
      <c r="F32" s="45"/>
      <c r="G32" s="45"/>
      <c r="H32" s="45"/>
      <c r="I32" s="45"/>
      <c r="J32" s="45"/>
      <c r="K32" s="45"/>
      <c r="L32" s="45"/>
      <c r="M32" s="45"/>
      <c r="N32" s="45"/>
      <c r="O32" s="45"/>
      <c r="P32" s="45"/>
      <c r="Q32" s="45"/>
      <c r="R32" s="45"/>
      <c r="S32" s="45"/>
      <c r="T32" s="45"/>
      <c r="U32" s="45"/>
      <c r="V32" s="45"/>
      <c r="W32" s="45"/>
    </row>
    <row r="33" spans="1:23" ht="15.75" customHeight="1">
      <c r="A33" s="45"/>
      <c r="B33" s="45"/>
      <c r="C33" s="45"/>
      <c r="D33" s="45"/>
      <c r="E33" s="45"/>
      <c r="F33" s="45"/>
      <c r="G33" s="45"/>
      <c r="H33" s="45"/>
      <c r="I33" s="45"/>
      <c r="J33" s="45"/>
      <c r="K33" s="45"/>
      <c r="L33" s="45"/>
      <c r="M33" s="45"/>
      <c r="N33" s="45"/>
      <c r="O33" s="45"/>
      <c r="P33" s="45"/>
      <c r="Q33" s="45"/>
      <c r="R33" s="45"/>
      <c r="S33" s="45"/>
      <c r="T33" s="45"/>
      <c r="U33" s="45"/>
      <c r="V33" s="45"/>
      <c r="W33" s="45"/>
    </row>
    <row r="34" spans="1:23" ht="15.75" customHeight="1">
      <c r="A34" s="45"/>
      <c r="B34" s="45"/>
      <c r="C34" s="45"/>
      <c r="D34" s="45"/>
      <c r="E34" s="45"/>
      <c r="F34" s="45"/>
      <c r="G34" s="45"/>
      <c r="H34" s="45"/>
      <c r="I34" s="45"/>
      <c r="J34" s="45"/>
      <c r="K34" s="45"/>
      <c r="L34" s="45"/>
      <c r="M34" s="45"/>
      <c r="N34" s="45"/>
      <c r="O34" s="45"/>
      <c r="P34" s="45"/>
      <c r="Q34" s="45"/>
      <c r="R34" s="45"/>
      <c r="S34" s="45"/>
      <c r="T34" s="45"/>
      <c r="U34" s="45"/>
      <c r="V34" s="45"/>
      <c r="W34" s="45"/>
    </row>
    <row r="35" spans="1:23" ht="15.75" customHeight="1">
      <c r="A35" s="45"/>
      <c r="B35" s="45"/>
      <c r="C35" s="45"/>
      <c r="D35" s="45"/>
      <c r="E35" s="45"/>
      <c r="F35" s="45"/>
      <c r="G35" s="45"/>
      <c r="H35" s="45"/>
      <c r="I35" s="45"/>
      <c r="J35" s="45"/>
      <c r="K35" s="45"/>
      <c r="L35" s="45"/>
      <c r="M35" s="45"/>
      <c r="N35" s="45"/>
      <c r="O35" s="45"/>
      <c r="P35" s="45"/>
      <c r="Q35" s="45"/>
      <c r="R35" s="45"/>
      <c r="S35" s="45"/>
      <c r="T35" s="45"/>
      <c r="U35" s="45"/>
      <c r="V35" s="45"/>
      <c r="W35" s="45"/>
    </row>
    <row r="36" spans="1:23" ht="15.75" customHeight="1">
      <c r="A36" s="45"/>
      <c r="B36" s="45"/>
      <c r="C36" s="45"/>
      <c r="D36" s="45"/>
      <c r="E36" s="45"/>
      <c r="F36" s="45"/>
      <c r="G36" s="45"/>
      <c r="H36" s="45"/>
      <c r="I36" s="45"/>
      <c r="J36" s="45"/>
      <c r="K36" s="45"/>
      <c r="L36" s="45"/>
      <c r="M36" s="45"/>
      <c r="N36" s="45"/>
      <c r="O36" s="45"/>
      <c r="P36" s="45"/>
      <c r="Q36" s="45"/>
      <c r="R36" s="45"/>
      <c r="S36" s="45"/>
      <c r="T36" s="45"/>
      <c r="U36" s="45"/>
      <c r="V36" s="45"/>
      <c r="W36" s="45"/>
    </row>
    <row r="37" spans="1:23" ht="15.75" customHeight="1">
      <c r="A37" s="45"/>
      <c r="B37" s="45"/>
      <c r="C37" s="45"/>
      <c r="D37" s="45"/>
      <c r="E37" s="45"/>
      <c r="F37" s="45"/>
      <c r="G37" s="45"/>
      <c r="H37" s="45"/>
      <c r="I37" s="45"/>
      <c r="J37" s="45"/>
      <c r="K37" s="45"/>
      <c r="L37" s="45"/>
      <c r="M37" s="45"/>
      <c r="N37" s="45"/>
      <c r="O37" s="45"/>
      <c r="P37" s="45"/>
      <c r="Q37" s="45"/>
      <c r="R37" s="45"/>
      <c r="S37" s="45"/>
      <c r="T37" s="45"/>
      <c r="U37" s="45"/>
      <c r="V37" s="45"/>
      <c r="W37" s="45"/>
    </row>
    <row r="38" spans="1:23" ht="15.75" customHeight="1">
      <c r="A38" s="45"/>
      <c r="B38" s="45"/>
      <c r="C38" s="45"/>
      <c r="D38" s="45"/>
      <c r="E38" s="45"/>
      <c r="F38" s="45"/>
      <c r="G38" s="45"/>
      <c r="H38" s="45"/>
      <c r="I38" s="45"/>
      <c r="J38" s="45"/>
      <c r="K38" s="45"/>
      <c r="L38" s="45"/>
      <c r="M38" s="45"/>
      <c r="N38" s="45"/>
      <c r="O38" s="45"/>
      <c r="P38" s="45"/>
      <c r="Q38" s="45"/>
      <c r="R38" s="45"/>
      <c r="S38" s="45"/>
      <c r="T38" s="45"/>
      <c r="U38" s="45"/>
      <c r="V38" s="45"/>
      <c r="W38" s="45"/>
    </row>
    <row r="39" spans="1:23" ht="15.75" customHeight="1">
      <c r="A39" s="45"/>
      <c r="B39" s="45"/>
      <c r="C39" s="45"/>
      <c r="D39" s="45"/>
      <c r="E39" s="45"/>
      <c r="F39" s="45"/>
      <c r="G39" s="45"/>
      <c r="H39" s="45"/>
      <c r="I39" s="45"/>
      <c r="J39" s="45"/>
      <c r="K39" s="45"/>
      <c r="L39" s="45"/>
      <c r="M39" s="45"/>
      <c r="N39" s="45"/>
      <c r="O39" s="45"/>
      <c r="P39" s="45"/>
      <c r="Q39" s="45"/>
      <c r="R39" s="45"/>
      <c r="S39" s="45"/>
      <c r="T39" s="45"/>
      <c r="U39" s="45"/>
      <c r="V39" s="45"/>
      <c r="W39" s="45"/>
    </row>
    <row r="40" spans="1:23" ht="15.75" customHeight="1">
      <c r="A40" s="45"/>
      <c r="B40" s="45"/>
      <c r="C40" s="45"/>
      <c r="D40" s="45"/>
      <c r="E40" s="45"/>
      <c r="F40" s="45"/>
      <c r="G40" s="45"/>
      <c r="H40" s="45"/>
      <c r="I40" s="45"/>
      <c r="J40" s="45"/>
      <c r="K40" s="45"/>
      <c r="L40" s="45"/>
      <c r="M40" s="45"/>
      <c r="N40" s="45"/>
      <c r="O40" s="45"/>
      <c r="P40" s="45"/>
      <c r="Q40" s="45"/>
      <c r="R40" s="45"/>
      <c r="S40" s="45"/>
      <c r="T40" s="45"/>
      <c r="U40" s="45"/>
      <c r="V40" s="45"/>
      <c r="W40" s="45"/>
    </row>
    <row r="41" spans="1:23" ht="15.75" customHeight="1">
      <c r="A41" s="45"/>
      <c r="B41" s="45"/>
      <c r="C41" s="45"/>
      <c r="D41" s="45"/>
      <c r="E41" s="45"/>
      <c r="F41" s="45"/>
      <c r="G41" s="45"/>
      <c r="H41" s="45"/>
      <c r="I41" s="45"/>
      <c r="J41" s="45"/>
      <c r="K41" s="45"/>
      <c r="L41" s="45"/>
      <c r="M41" s="45"/>
      <c r="N41" s="45"/>
      <c r="O41" s="45"/>
      <c r="P41" s="45"/>
      <c r="Q41" s="45"/>
      <c r="R41" s="45"/>
      <c r="S41" s="45"/>
      <c r="T41" s="45"/>
      <c r="U41" s="45"/>
      <c r="V41" s="45"/>
      <c r="W41" s="45"/>
    </row>
    <row r="42" spans="1:23" ht="15.75" customHeight="1">
      <c r="A42" s="45"/>
      <c r="B42" s="45"/>
      <c r="C42" s="45"/>
      <c r="D42" s="45"/>
      <c r="E42" s="45"/>
      <c r="F42" s="45"/>
      <c r="G42" s="45"/>
      <c r="H42" s="45"/>
      <c r="I42" s="45"/>
      <c r="J42" s="45"/>
      <c r="K42" s="45"/>
      <c r="L42" s="45"/>
      <c r="M42" s="45"/>
      <c r="N42" s="45"/>
      <c r="O42" s="45"/>
      <c r="P42" s="45"/>
      <c r="Q42" s="45"/>
      <c r="R42" s="45"/>
      <c r="S42" s="45"/>
      <c r="T42" s="45"/>
      <c r="U42" s="45"/>
      <c r="V42" s="45"/>
      <c r="W42" s="45"/>
    </row>
    <row r="43" spans="1:23" ht="15.75" customHeight="1">
      <c r="A43" s="45"/>
      <c r="B43" s="45"/>
      <c r="C43" s="45"/>
      <c r="D43" s="45"/>
      <c r="E43" s="45"/>
      <c r="F43" s="45"/>
      <c r="G43" s="45"/>
      <c r="H43" s="45"/>
      <c r="I43" s="45"/>
      <c r="J43" s="45"/>
      <c r="K43" s="45"/>
      <c r="L43" s="45"/>
      <c r="M43" s="45"/>
      <c r="N43" s="45"/>
      <c r="O43" s="45"/>
      <c r="P43" s="45"/>
      <c r="Q43" s="45"/>
      <c r="R43" s="45"/>
      <c r="S43" s="45"/>
      <c r="T43" s="45"/>
      <c r="U43" s="45"/>
      <c r="V43" s="45"/>
      <c r="W43" s="45"/>
    </row>
    <row r="44" spans="1:23" ht="15.75" customHeight="1">
      <c r="A44" s="45"/>
      <c r="B44" s="45"/>
      <c r="C44" s="45"/>
      <c r="D44" s="45"/>
      <c r="E44" s="45"/>
      <c r="F44" s="45"/>
      <c r="G44" s="45"/>
      <c r="H44" s="45"/>
      <c r="I44" s="45"/>
      <c r="J44" s="45"/>
      <c r="K44" s="45"/>
      <c r="L44" s="45"/>
      <c r="M44" s="45"/>
      <c r="N44" s="45"/>
      <c r="O44" s="45"/>
      <c r="P44" s="45"/>
      <c r="Q44" s="45"/>
      <c r="R44" s="45"/>
      <c r="S44" s="45"/>
      <c r="T44" s="45"/>
      <c r="U44" s="45"/>
      <c r="V44" s="45"/>
      <c r="W44" s="45"/>
    </row>
    <row r="45" spans="1:23" ht="15.75" customHeight="1">
      <c r="A45" s="45"/>
      <c r="B45" s="45"/>
      <c r="C45" s="45"/>
      <c r="D45" s="45"/>
      <c r="E45" s="45"/>
      <c r="F45" s="45"/>
      <c r="G45" s="45"/>
      <c r="H45" s="45"/>
      <c r="I45" s="45"/>
      <c r="J45" s="45"/>
      <c r="K45" s="45"/>
      <c r="L45" s="45"/>
      <c r="M45" s="45"/>
      <c r="N45" s="45"/>
      <c r="O45" s="45"/>
      <c r="P45" s="45"/>
      <c r="Q45" s="45"/>
      <c r="R45" s="45"/>
      <c r="S45" s="45"/>
      <c r="T45" s="45"/>
      <c r="U45" s="45"/>
      <c r="V45" s="45"/>
      <c r="W45" s="45"/>
    </row>
    <row r="46" spans="1:23" ht="15.75" customHeight="1">
      <c r="A46" s="45"/>
      <c r="B46" s="45"/>
      <c r="C46" s="45"/>
      <c r="D46" s="45"/>
      <c r="E46" s="45"/>
      <c r="F46" s="45"/>
      <c r="G46" s="45"/>
      <c r="H46" s="45"/>
      <c r="I46" s="45"/>
      <c r="J46" s="45"/>
      <c r="K46" s="45"/>
      <c r="L46" s="45"/>
      <c r="M46" s="45"/>
      <c r="N46" s="45"/>
      <c r="O46" s="45"/>
      <c r="P46" s="45"/>
      <c r="Q46" s="45"/>
      <c r="R46" s="45"/>
      <c r="S46" s="45"/>
      <c r="T46" s="45"/>
      <c r="U46" s="45"/>
      <c r="V46" s="45"/>
      <c r="W46" s="45"/>
    </row>
    <row r="47" spans="1:23" ht="15.75" customHeight="1">
      <c r="A47" s="45"/>
      <c r="B47" s="45"/>
      <c r="C47" s="45"/>
      <c r="D47" s="45"/>
      <c r="E47" s="45"/>
      <c r="F47" s="45"/>
      <c r="G47" s="45"/>
      <c r="H47" s="45"/>
      <c r="I47" s="45"/>
      <c r="J47" s="45"/>
      <c r="K47" s="45"/>
      <c r="L47" s="45"/>
      <c r="M47" s="45"/>
      <c r="N47" s="45"/>
      <c r="O47" s="45"/>
      <c r="P47" s="45"/>
      <c r="Q47" s="45"/>
      <c r="R47" s="45"/>
      <c r="S47" s="45"/>
      <c r="T47" s="45"/>
      <c r="U47" s="45"/>
      <c r="V47" s="45"/>
      <c r="W47" s="45"/>
    </row>
    <row r="48" spans="1:23" ht="15.75" customHeight="1">
      <c r="A48" s="45"/>
      <c r="B48" s="45"/>
      <c r="C48" s="45"/>
      <c r="D48" s="45"/>
      <c r="E48" s="45"/>
      <c r="F48" s="45"/>
      <c r="G48" s="45"/>
      <c r="H48" s="45"/>
      <c r="I48" s="45"/>
      <c r="J48" s="45"/>
      <c r="K48" s="45"/>
      <c r="L48" s="45"/>
      <c r="M48" s="45"/>
      <c r="N48" s="45"/>
      <c r="O48" s="45"/>
      <c r="P48" s="45"/>
      <c r="Q48" s="45"/>
      <c r="R48" s="45"/>
      <c r="S48" s="45"/>
      <c r="T48" s="45"/>
      <c r="U48" s="45"/>
      <c r="V48" s="45"/>
      <c r="W48" s="45"/>
    </row>
    <row r="49" spans="1:23" ht="15.75" customHeight="1">
      <c r="A49" s="45"/>
      <c r="B49" s="45"/>
      <c r="C49" s="45"/>
      <c r="D49" s="45"/>
      <c r="E49" s="45"/>
      <c r="F49" s="45"/>
      <c r="G49" s="45"/>
      <c r="H49" s="45"/>
      <c r="I49" s="45"/>
      <c r="J49" s="45"/>
      <c r="K49" s="45"/>
      <c r="L49" s="45"/>
      <c r="M49" s="45"/>
      <c r="N49" s="45"/>
      <c r="O49" s="45"/>
      <c r="P49" s="45"/>
      <c r="Q49" s="45"/>
      <c r="R49" s="45"/>
      <c r="S49" s="45"/>
      <c r="T49" s="45"/>
      <c r="U49" s="45"/>
      <c r="V49" s="45"/>
      <c r="W49" s="45"/>
    </row>
    <row r="50" spans="1:23" ht="15.75" customHeight="1">
      <c r="A50" s="45"/>
      <c r="B50" s="45"/>
      <c r="C50" s="45"/>
      <c r="D50" s="45"/>
      <c r="E50" s="45"/>
      <c r="F50" s="45"/>
      <c r="G50" s="45"/>
      <c r="H50" s="45"/>
      <c r="I50" s="45"/>
      <c r="J50" s="45"/>
      <c r="K50" s="45"/>
      <c r="L50" s="45"/>
      <c r="M50" s="45"/>
      <c r="N50" s="45"/>
      <c r="O50" s="45"/>
      <c r="P50" s="45"/>
      <c r="Q50" s="45"/>
      <c r="R50" s="45"/>
      <c r="S50" s="45"/>
      <c r="T50" s="45"/>
      <c r="U50" s="45"/>
      <c r="V50" s="45"/>
      <c r="W50" s="45"/>
    </row>
    <row r="51" spans="1:23" ht="15.75" customHeight="1">
      <c r="A51" s="45"/>
      <c r="B51" s="45"/>
      <c r="C51" s="45"/>
      <c r="D51" s="45"/>
      <c r="E51" s="45"/>
      <c r="F51" s="45"/>
      <c r="G51" s="45"/>
      <c r="H51" s="45"/>
      <c r="I51" s="45"/>
      <c r="J51" s="45"/>
      <c r="K51" s="45"/>
      <c r="L51" s="45"/>
      <c r="M51" s="45"/>
      <c r="N51" s="45"/>
      <c r="O51" s="45"/>
      <c r="P51" s="45"/>
      <c r="Q51" s="45"/>
      <c r="R51" s="45"/>
      <c r="S51" s="45"/>
      <c r="T51" s="45"/>
      <c r="U51" s="45"/>
      <c r="V51" s="45"/>
      <c r="W51" s="45"/>
    </row>
    <row r="52" spans="1:23" ht="15.75" customHeight="1">
      <c r="A52" s="45"/>
      <c r="B52" s="45"/>
      <c r="C52" s="45"/>
      <c r="D52" s="45"/>
      <c r="E52" s="45"/>
      <c r="F52" s="45"/>
      <c r="G52" s="45"/>
      <c r="H52" s="45"/>
      <c r="I52" s="45"/>
      <c r="J52" s="45"/>
      <c r="K52" s="45"/>
      <c r="L52" s="45"/>
      <c r="M52" s="45"/>
      <c r="N52" s="45"/>
      <c r="O52" s="45"/>
      <c r="P52" s="45"/>
      <c r="Q52" s="45"/>
      <c r="R52" s="45"/>
      <c r="S52" s="45"/>
      <c r="T52" s="45"/>
      <c r="U52" s="45"/>
      <c r="V52" s="45"/>
      <c r="W52" s="45"/>
    </row>
    <row r="53" spans="1:23" ht="15.75" customHeight="1">
      <c r="A53" s="45"/>
      <c r="B53" s="45"/>
      <c r="C53" s="45"/>
      <c r="D53" s="45"/>
      <c r="E53" s="45"/>
      <c r="F53" s="45"/>
      <c r="G53" s="45"/>
      <c r="H53" s="45"/>
      <c r="I53" s="45"/>
      <c r="J53" s="45"/>
      <c r="K53" s="45"/>
      <c r="L53" s="45"/>
      <c r="M53" s="45"/>
      <c r="N53" s="45"/>
      <c r="O53" s="45"/>
      <c r="P53" s="45"/>
      <c r="Q53" s="45"/>
      <c r="R53" s="45"/>
      <c r="S53" s="45"/>
      <c r="T53" s="45"/>
      <c r="U53" s="45"/>
      <c r="V53" s="45"/>
      <c r="W53" s="45"/>
    </row>
    <row r="54" spans="1:23" ht="15.75" customHeight="1">
      <c r="A54" s="45"/>
      <c r="B54" s="45"/>
      <c r="C54" s="45"/>
      <c r="D54" s="45"/>
      <c r="E54" s="45"/>
      <c r="F54" s="45"/>
      <c r="G54" s="45"/>
      <c r="H54" s="45"/>
      <c r="I54" s="45"/>
      <c r="J54" s="45"/>
      <c r="K54" s="45"/>
      <c r="L54" s="45"/>
      <c r="M54" s="45"/>
      <c r="N54" s="45"/>
      <c r="O54" s="45"/>
      <c r="P54" s="45"/>
      <c r="Q54" s="45"/>
      <c r="R54" s="45"/>
      <c r="S54" s="45"/>
      <c r="T54" s="45"/>
      <c r="U54" s="45"/>
      <c r="V54" s="45"/>
      <c r="W54" s="45"/>
    </row>
    <row r="55" spans="1:23" ht="15.75" customHeight="1">
      <c r="A55" s="45"/>
      <c r="B55" s="45"/>
      <c r="C55" s="45"/>
      <c r="D55" s="45"/>
      <c r="E55" s="45"/>
      <c r="F55" s="45"/>
      <c r="G55" s="45"/>
      <c r="H55" s="45"/>
      <c r="I55" s="45"/>
      <c r="J55" s="45"/>
      <c r="K55" s="45"/>
      <c r="L55" s="45"/>
      <c r="M55" s="45"/>
      <c r="N55" s="45"/>
      <c r="O55" s="45"/>
      <c r="P55" s="45"/>
      <c r="Q55" s="45"/>
      <c r="R55" s="45"/>
      <c r="S55" s="45"/>
      <c r="T55" s="45"/>
      <c r="U55" s="45"/>
      <c r="V55" s="45"/>
      <c r="W55" s="45"/>
    </row>
    <row r="56" spans="1:23" ht="15.75" customHeight="1">
      <c r="A56" s="45"/>
      <c r="B56" s="45"/>
      <c r="C56" s="45"/>
      <c r="D56" s="45"/>
      <c r="E56" s="45"/>
      <c r="F56" s="45"/>
      <c r="G56" s="45"/>
      <c r="H56" s="45"/>
      <c r="I56" s="45"/>
      <c r="J56" s="45"/>
      <c r="K56" s="45"/>
      <c r="L56" s="45"/>
      <c r="M56" s="45"/>
      <c r="N56" s="45"/>
      <c r="O56" s="45"/>
      <c r="P56" s="45"/>
      <c r="Q56" s="45"/>
      <c r="R56" s="45"/>
      <c r="S56" s="45"/>
      <c r="T56" s="45"/>
      <c r="U56" s="45"/>
      <c r="V56" s="45"/>
      <c r="W56" s="45"/>
    </row>
    <row r="57" spans="1:23" ht="15.75" customHeight="1">
      <c r="A57" s="45"/>
      <c r="B57" s="45"/>
      <c r="C57" s="45"/>
      <c r="D57" s="45"/>
      <c r="E57" s="45"/>
      <c r="F57" s="45"/>
      <c r="G57" s="45"/>
      <c r="H57" s="45"/>
      <c r="I57" s="45"/>
      <c r="J57" s="45"/>
      <c r="K57" s="45"/>
      <c r="L57" s="45"/>
      <c r="M57" s="45"/>
      <c r="N57" s="45"/>
      <c r="O57" s="45"/>
      <c r="P57" s="45"/>
      <c r="Q57" s="45"/>
      <c r="R57" s="45"/>
      <c r="S57" s="45"/>
      <c r="T57" s="45"/>
      <c r="U57" s="45"/>
      <c r="V57" s="45"/>
      <c r="W57" s="45"/>
    </row>
    <row r="58" spans="1:23" ht="15.75" customHeight="1">
      <c r="A58" s="45"/>
      <c r="B58" s="45"/>
      <c r="C58" s="45"/>
      <c r="D58" s="45"/>
      <c r="E58" s="45"/>
      <c r="F58" s="45"/>
      <c r="G58" s="45"/>
      <c r="H58" s="45"/>
      <c r="I58" s="45"/>
      <c r="J58" s="45"/>
      <c r="K58" s="45"/>
      <c r="L58" s="45"/>
      <c r="M58" s="45"/>
      <c r="N58" s="45"/>
      <c r="O58" s="45"/>
      <c r="P58" s="45"/>
      <c r="Q58" s="45"/>
      <c r="R58" s="45"/>
      <c r="S58" s="45"/>
      <c r="T58" s="45"/>
      <c r="U58" s="45"/>
      <c r="V58" s="45"/>
      <c r="W58" s="45"/>
    </row>
    <row r="59" spans="1:23" ht="15.75" customHeight="1">
      <c r="A59" s="45"/>
      <c r="B59" s="45"/>
      <c r="C59" s="45"/>
      <c r="D59" s="45"/>
      <c r="E59" s="45"/>
      <c r="F59" s="45"/>
      <c r="G59" s="45"/>
      <c r="H59" s="45"/>
      <c r="I59" s="45"/>
      <c r="J59" s="45"/>
      <c r="K59" s="45"/>
      <c r="L59" s="45"/>
      <c r="M59" s="45"/>
      <c r="N59" s="45"/>
      <c r="O59" s="45"/>
      <c r="P59" s="45"/>
      <c r="Q59" s="45"/>
      <c r="R59" s="45"/>
      <c r="S59" s="45"/>
      <c r="T59" s="45"/>
      <c r="U59" s="45"/>
      <c r="V59" s="45"/>
      <c r="W59" s="45"/>
    </row>
    <row r="60" spans="1:23" ht="15.75" customHeight="1">
      <c r="A60" s="45"/>
      <c r="B60" s="45"/>
      <c r="C60" s="45"/>
      <c r="D60" s="45"/>
      <c r="E60" s="45"/>
      <c r="F60" s="45"/>
      <c r="G60" s="45"/>
      <c r="H60" s="45"/>
      <c r="I60" s="45"/>
      <c r="J60" s="45"/>
      <c r="K60" s="45"/>
      <c r="L60" s="45"/>
      <c r="M60" s="45"/>
      <c r="N60" s="45"/>
      <c r="O60" s="45"/>
      <c r="P60" s="45"/>
      <c r="Q60" s="45"/>
      <c r="R60" s="45"/>
      <c r="S60" s="45"/>
      <c r="T60" s="45"/>
      <c r="U60" s="45"/>
      <c r="V60" s="45"/>
      <c r="W60" s="45"/>
    </row>
    <row r="61" spans="1:23" ht="15.75" customHeight="1">
      <c r="A61" s="45"/>
      <c r="B61" s="45"/>
      <c r="C61" s="45"/>
      <c r="D61" s="45"/>
      <c r="E61" s="45"/>
      <c r="F61" s="45"/>
      <c r="G61" s="45"/>
      <c r="H61" s="45"/>
      <c r="I61" s="45"/>
      <c r="J61" s="45"/>
      <c r="K61" s="45"/>
      <c r="L61" s="45"/>
      <c r="M61" s="45"/>
      <c r="N61" s="45"/>
      <c r="O61" s="45"/>
      <c r="P61" s="45"/>
      <c r="Q61" s="45"/>
      <c r="R61" s="45"/>
      <c r="S61" s="45"/>
      <c r="T61" s="45"/>
      <c r="U61" s="45"/>
      <c r="V61" s="45"/>
      <c r="W61" s="45"/>
    </row>
    <row r="62" spans="1:23" ht="15.75" customHeight="1">
      <c r="A62" s="45"/>
      <c r="B62" s="45"/>
      <c r="C62" s="45"/>
      <c r="D62" s="45"/>
      <c r="E62" s="45"/>
      <c r="F62" s="45"/>
      <c r="G62" s="45"/>
      <c r="H62" s="45"/>
      <c r="I62" s="45"/>
      <c r="J62" s="45"/>
      <c r="K62" s="45"/>
      <c r="L62" s="45"/>
      <c r="M62" s="45"/>
      <c r="N62" s="45"/>
      <c r="O62" s="45"/>
      <c r="P62" s="45"/>
      <c r="Q62" s="45"/>
      <c r="R62" s="45"/>
      <c r="S62" s="45"/>
      <c r="T62" s="45"/>
      <c r="U62" s="45"/>
      <c r="V62" s="45"/>
      <c r="W62" s="45"/>
    </row>
    <row r="63" spans="1:23" ht="15.75" customHeight="1">
      <c r="A63" s="45"/>
      <c r="B63" s="45"/>
      <c r="C63" s="45"/>
      <c r="D63" s="45"/>
      <c r="E63" s="45"/>
      <c r="F63" s="45"/>
      <c r="G63" s="45"/>
      <c r="H63" s="45"/>
      <c r="I63" s="45"/>
      <c r="J63" s="45"/>
      <c r="K63" s="45"/>
      <c r="L63" s="45"/>
      <c r="M63" s="45"/>
      <c r="N63" s="45"/>
      <c r="O63" s="45"/>
      <c r="P63" s="45"/>
      <c r="Q63" s="45"/>
      <c r="R63" s="45"/>
      <c r="S63" s="45"/>
      <c r="T63" s="45"/>
      <c r="U63" s="45"/>
      <c r="V63" s="45"/>
      <c r="W63" s="45"/>
    </row>
    <row r="64" spans="1:23" ht="15.75" customHeight="1">
      <c r="A64" s="45"/>
      <c r="B64" s="45"/>
      <c r="C64" s="45"/>
      <c r="D64" s="45"/>
      <c r="E64" s="45"/>
      <c r="F64" s="45"/>
      <c r="G64" s="45"/>
      <c r="H64" s="45"/>
      <c r="I64" s="45"/>
      <c r="J64" s="45"/>
      <c r="K64" s="45"/>
      <c r="L64" s="45"/>
      <c r="M64" s="45"/>
      <c r="N64" s="45"/>
      <c r="O64" s="45"/>
      <c r="P64" s="45"/>
      <c r="Q64" s="45"/>
      <c r="R64" s="45"/>
      <c r="S64" s="45"/>
      <c r="T64" s="45"/>
      <c r="U64" s="45"/>
      <c r="V64" s="45"/>
      <c r="W64" s="45"/>
    </row>
    <row r="65" spans="1:23" ht="15.75" customHeight="1">
      <c r="A65" s="45"/>
      <c r="B65" s="45"/>
      <c r="C65" s="45"/>
      <c r="D65" s="45"/>
      <c r="E65" s="45"/>
      <c r="F65" s="45"/>
      <c r="G65" s="45"/>
      <c r="H65" s="45"/>
      <c r="I65" s="45"/>
      <c r="J65" s="45"/>
      <c r="K65" s="45"/>
      <c r="L65" s="45"/>
      <c r="M65" s="45"/>
      <c r="N65" s="45"/>
      <c r="O65" s="45"/>
      <c r="P65" s="45"/>
      <c r="Q65" s="45"/>
      <c r="R65" s="45"/>
      <c r="S65" s="45"/>
      <c r="T65" s="45"/>
      <c r="U65" s="45"/>
      <c r="V65" s="45"/>
      <c r="W65" s="45"/>
    </row>
    <row r="66" spans="1:23" ht="15.75" customHeight="1">
      <c r="A66" s="45"/>
      <c r="B66" s="45"/>
      <c r="C66" s="45"/>
      <c r="D66" s="45"/>
      <c r="E66" s="45"/>
      <c r="F66" s="45"/>
      <c r="G66" s="45"/>
      <c r="H66" s="45"/>
      <c r="I66" s="45"/>
      <c r="J66" s="45"/>
      <c r="K66" s="45"/>
      <c r="L66" s="45"/>
      <c r="M66" s="45"/>
      <c r="N66" s="45"/>
      <c r="O66" s="45"/>
      <c r="P66" s="45"/>
      <c r="Q66" s="45"/>
      <c r="R66" s="45"/>
      <c r="S66" s="45"/>
      <c r="T66" s="45"/>
      <c r="U66" s="45"/>
      <c r="V66" s="45"/>
      <c r="W66" s="45"/>
    </row>
    <row r="67" spans="1:23" ht="15.75" customHeight="1">
      <c r="A67" s="45"/>
      <c r="B67" s="45"/>
      <c r="C67" s="45"/>
      <c r="D67" s="45"/>
      <c r="E67" s="45"/>
      <c r="F67" s="45"/>
      <c r="G67" s="45"/>
      <c r="H67" s="45"/>
      <c r="I67" s="45"/>
      <c r="J67" s="45"/>
      <c r="K67" s="45"/>
      <c r="L67" s="45"/>
      <c r="M67" s="45"/>
      <c r="N67" s="45"/>
      <c r="O67" s="45"/>
      <c r="P67" s="45"/>
      <c r="Q67" s="45"/>
      <c r="R67" s="45"/>
      <c r="S67" s="45"/>
      <c r="T67" s="45"/>
      <c r="U67" s="45"/>
      <c r="V67" s="45"/>
      <c r="W67" s="45"/>
    </row>
    <row r="68" spans="1:23" ht="15.75" customHeight="1">
      <c r="A68" s="45"/>
      <c r="B68" s="45"/>
      <c r="C68" s="45"/>
      <c r="D68" s="45"/>
      <c r="E68" s="45"/>
      <c r="F68" s="45"/>
      <c r="G68" s="45"/>
      <c r="H68" s="45"/>
      <c r="I68" s="45"/>
      <c r="J68" s="45"/>
      <c r="K68" s="45"/>
      <c r="L68" s="45"/>
      <c r="M68" s="45"/>
      <c r="N68" s="45"/>
      <c r="O68" s="45"/>
      <c r="P68" s="45"/>
      <c r="Q68" s="45"/>
      <c r="R68" s="45"/>
      <c r="S68" s="45"/>
      <c r="T68" s="45"/>
      <c r="U68" s="45"/>
      <c r="V68" s="45"/>
      <c r="W68" s="45"/>
    </row>
    <row r="69" spans="1:23" ht="15.75" customHeight="1">
      <c r="A69" s="45"/>
      <c r="B69" s="45"/>
      <c r="C69" s="45"/>
      <c r="D69" s="45"/>
      <c r="E69" s="45"/>
      <c r="F69" s="45"/>
      <c r="G69" s="45"/>
      <c r="H69" s="45"/>
      <c r="I69" s="45"/>
      <c r="J69" s="45"/>
      <c r="K69" s="45"/>
      <c r="L69" s="45"/>
      <c r="M69" s="45"/>
      <c r="N69" s="45"/>
      <c r="O69" s="45"/>
      <c r="P69" s="45"/>
      <c r="Q69" s="45"/>
      <c r="R69" s="45"/>
      <c r="S69" s="45"/>
      <c r="T69" s="45"/>
      <c r="U69" s="45"/>
      <c r="V69" s="45"/>
      <c r="W69" s="45"/>
    </row>
    <row r="70" spans="1:23" ht="15.75" customHeight="1">
      <c r="A70" s="45"/>
      <c r="B70" s="45"/>
      <c r="C70" s="45"/>
      <c r="D70" s="45"/>
      <c r="E70" s="45"/>
      <c r="F70" s="45"/>
      <c r="G70" s="45"/>
      <c r="H70" s="45"/>
      <c r="I70" s="45"/>
      <c r="J70" s="45"/>
      <c r="K70" s="45"/>
      <c r="L70" s="45"/>
      <c r="M70" s="45"/>
      <c r="N70" s="45"/>
      <c r="O70" s="45"/>
      <c r="P70" s="45"/>
      <c r="Q70" s="45"/>
      <c r="R70" s="45"/>
      <c r="S70" s="45"/>
      <c r="T70" s="45"/>
      <c r="U70" s="45"/>
      <c r="V70" s="45"/>
      <c r="W70" s="45"/>
    </row>
    <row r="71" spans="1:23" ht="15.75" customHeight="1">
      <c r="A71" s="45"/>
      <c r="B71" s="45"/>
      <c r="C71" s="45"/>
      <c r="D71" s="45"/>
      <c r="E71" s="45"/>
      <c r="F71" s="45"/>
      <c r="G71" s="45"/>
      <c r="H71" s="45"/>
      <c r="I71" s="45"/>
      <c r="J71" s="45"/>
      <c r="K71" s="45"/>
      <c r="L71" s="45"/>
      <c r="M71" s="45"/>
      <c r="N71" s="45"/>
      <c r="O71" s="45"/>
      <c r="P71" s="45"/>
      <c r="Q71" s="45"/>
      <c r="R71" s="45"/>
      <c r="S71" s="45"/>
      <c r="T71" s="45"/>
      <c r="U71" s="45"/>
      <c r="V71" s="45"/>
      <c r="W71" s="45"/>
    </row>
    <row r="72" spans="1:23" ht="15.75" customHeight="1">
      <c r="A72" s="45"/>
      <c r="B72" s="45"/>
      <c r="C72" s="45"/>
      <c r="D72" s="45"/>
      <c r="E72" s="45"/>
      <c r="F72" s="45"/>
      <c r="G72" s="45"/>
      <c r="H72" s="45"/>
      <c r="I72" s="45"/>
      <c r="J72" s="45"/>
      <c r="K72" s="45"/>
      <c r="L72" s="45"/>
      <c r="M72" s="45"/>
      <c r="N72" s="45"/>
      <c r="O72" s="45"/>
      <c r="P72" s="45"/>
      <c r="Q72" s="45"/>
      <c r="R72" s="45"/>
      <c r="S72" s="45"/>
      <c r="T72" s="45"/>
      <c r="U72" s="45"/>
      <c r="V72" s="45"/>
      <c r="W72" s="45"/>
    </row>
    <row r="73" spans="1:23" ht="15.75" customHeight="1">
      <c r="A73" s="45"/>
      <c r="B73" s="45"/>
      <c r="C73" s="45"/>
      <c r="D73" s="45"/>
      <c r="E73" s="45"/>
      <c r="F73" s="45"/>
      <c r="G73" s="45"/>
      <c r="H73" s="45"/>
      <c r="I73" s="45"/>
      <c r="J73" s="45"/>
      <c r="K73" s="45"/>
      <c r="L73" s="45"/>
      <c r="M73" s="45"/>
      <c r="N73" s="45"/>
      <c r="O73" s="45"/>
      <c r="P73" s="45"/>
      <c r="Q73" s="45"/>
      <c r="R73" s="45"/>
      <c r="S73" s="45"/>
      <c r="T73" s="45"/>
      <c r="U73" s="45"/>
      <c r="V73" s="45"/>
      <c r="W73" s="45"/>
    </row>
    <row r="74" spans="1:23" ht="15.75" customHeight="1">
      <c r="A74" s="45"/>
      <c r="B74" s="45"/>
      <c r="C74" s="45"/>
      <c r="D74" s="45"/>
      <c r="E74" s="45"/>
      <c r="F74" s="45"/>
      <c r="G74" s="45"/>
      <c r="H74" s="45"/>
      <c r="I74" s="45"/>
      <c r="J74" s="45"/>
      <c r="K74" s="45"/>
      <c r="L74" s="45"/>
      <c r="M74" s="45"/>
      <c r="N74" s="45"/>
      <c r="O74" s="45"/>
      <c r="P74" s="45"/>
      <c r="Q74" s="45"/>
      <c r="R74" s="45"/>
      <c r="S74" s="45"/>
      <c r="T74" s="45"/>
      <c r="U74" s="45"/>
      <c r="V74" s="45"/>
      <c r="W74" s="45"/>
    </row>
    <row r="75" spans="1:23" ht="15.75" customHeight="1">
      <c r="A75" s="45"/>
      <c r="B75" s="45"/>
      <c r="C75" s="45"/>
      <c r="D75" s="45"/>
      <c r="E75" s="45"/>
      <c r="F75" s="45"/>
      <c r="G75" s="45"/>
      <c r="H75" s="45"/>
      <c r="I75" s="45"/>
      <c r="J75" s="45"/>
      <c r="K75" s="45"/>
      <c r="L75" s="45"/>
      <c r="M75" s="45"/>
      <c r="N75" s="45"/>
      <c r="O75" s="45"/>
      <c r="P75" s="45"/>
      <c r="Q75" s="45"/>
      <c r="R75" s="45"/>
      <c r="S75" s="45"/>
      <c r="T75" s="45"/>
      <c r="U75" s="45"/>
      <c r="V75" s="45"/>
      <c r="W75" s="45"/>
    </row>
    <row r="76" spans="1:23" ht="15.75" customHeight="1">
      <c r="A76" s="45"/>
      <c r="B76" s="45"/>
      <c r="C76" s="45"/>
      <c r="D76" s="45"/>
      <c r="E76" s="45"/>
      <c r="F76" s="45"/>
      <c r="G76" s="45"/>
      <c r="H76" s="45"/>
      <c r="I76" s="45"/>
      <c r="J76" s="45"/>
      <c r="K76" s="45"/>
      <c r="L76" s="45"/>
      <c r="M76" s="45"/>
      <c r="N76" s="45"/>
      <c r="O76" s="45"/>
      <c r="P76" s="45"/>
      <c r="Q76" s="45"/>
      <c r="R76" s="45"/>
      <c r="S76" s="45"/>
      <c r="T76" s="45"/>
      <c r="U76" s="45"/>
      <c r="V76" s="45"/>
      <c r="W76" s="45"/>
    </row>
    <row r="77" spans="1:23" ht="15.75" customHeight="1">
      <c r="A77" s="45"/>
      <c r="B77" s="45"/>
      <c r="C77" s="45"/>
      <c r="D77" s="45"/>
      <c r="E77" s="45"/>
      <c r="F77" s="45"/>
      <c r="G77" s="45"/>
      <c r="H77" s="45"/>
      <c r="I77" s="45"/>
      <c r="J77" s="45"/>
      <c r="K77" s="45"/>
      <c r="L77" s="45"/>
      <c r="M77" s="45"/>
      <c r="N77" s="45"/>
      <c r="O77" s="45"/>
      <c r="P77" s="45"/>
      <c r="Q77" s="45"/>
      <c r="R77" s="45"/>
      <c r="S77" s="45"/>
      <c r="T77" s="45"/>
      <c r="U77" s="45"/>
      <c r="V77" s="45"/>
      <c r="W77" s="45"/>
    </row>
    <row r="78" spans="1:23" ht="15.75" customHeight="1">
      <c r="A78" s="45"/>
      <c r="B78" s="45"/>
      <c r="C78" s="45"/>
      <c r="D78" s="45"/>
      <c r="E78" s="45"/>
      <c r="F78" s="45"/>
      <c r="G78" s="45"/>
      <c r="H78" s="45"/>
      <c r="I78" s="45"/>
      <c r="J78" s="45"/>
      <c r="K78" s="45"/>
      <c r="L78" s="45"/>
      <c r="M78" s="45"/>
      <c r="N78" s="45"/>
      <c r="O78" s="45"/>
      <c r="P78" s="45"/>
      <c r="Q78" s="45"/>
      <c r="R78" s="45"/>
      <c r="S78" s="45"/>
      <c r="T78" s="45"/>
      <c r="U78" s="45"/>
      <c r="V78" s="45"/>
      <c r="W78" s="45"/>
    </row>
    <row r="79" spans="1:23" ht="15.75" customHeight="1">
      <c r="A79" s="45"/>
      <c r="B79" s="45"/>
      <c r="C79" s="45"/>
      <c r="D79" s="45"/>
      <c r="E79" s="45"/>
      <c r="F79" s="45"/>
      <c r="G79" s="45"/>
      <c r="H79" s="45"/>
      <c r="I79" s="45"/>
      <c r="J79" s="45"/>
      <c r="K79" s="45"/>
      <c r="L79" s="45"/>
      <c r="M79" s="45"/>
      <c r="N79" s="45"/>
      <c r="O79" s="45"/>
      <c r="P79" s="45"/>
      <c r="Q79" s="45"/>
      <c r="R79" s="45"/>
      <c r="S79" s="45"/>
      <c r="T79" s="45"/>
      <c r="U79" s="45"/>
      <c r="V79" s="45"/>
      <c r="W79" s="45"/>
    </row>
    <row r="80" spans="1:23" ht="15.75" customHeight="1">
      <c r="A80" s="45"/>
      <c r="B80" s="45"/>
      <c r="C80" s="45"/>
      <c r="D80" s="45"/>
      <c r="E80" s="45"/>
      <c r="F80" s="45"/>
      <c r="G80" s="45"/>
      <c r="H80" s="45"/>
      <c r="I80" s="45"/>
      <c r="J80" s="45"/>
      <c r="K80" s="45"/>
      <c r="L80" s="45"/>
      <c r="M80" s="45"/>
      <c r="N80" s="45"/>
      <c r="O80" s="45"/>
      <c r="P80" s="45"/>
      <c r="Q80" s="45"/>
      <c r="R80" s="45"/>
      <c r="S80" s="45"/>
      <c r="T80" s="45"/>
      <c r="U80" s="45"/>
      <c r="V80" s="45"/>
      <c r="W80" s="45"/>
    </row>
    <row r="81" spans="1:23" ht="15.75" customHeight="1">
      <c r="A81" s="45"/>
      <c r="B81" s="45"/>
      <c r="C81" s="45"/>
      <c r="D81" s="45"/>
      <c r="E81" s="45"/>
      <c r="F81" s="45"/>
      <c r="G81" s="45"/>
      <c r="H81" s="45"/>
      <c r="I81" s="45"/>
      <c r="J81" s="45"/>
      <c r="K81" s="45"/>
      <c r="L81" s="45"/>
      <c r="M81" s="45"/>
      <c r="N81" s="45"/>
      <c r="O81" s="45"/>
      <c r="P81" s="45"/>
      <c r="Q81" s="45"/>
      <c r="R81" s="45"/>
      <c r="S81" s="45"/>
      <c r="T81" s="45"/>
      <c r="U81" s="45"/>
      <c r="V81" s="45"/>
      <c r="W81" s="45"/>
    </row>
    <row r="82" spans="1:23" ht="15.75" customHeight="1">
      <c r="A82" s="45"/>
      <c r="B82" s="45"/>
      <c r="C82" s="45"/>
      <c r="D82" s="45"/>
      <c r="E82" s="45"/>
      <c r="F82" s="45"/>
      <c r="G82" s="45"/>
      <c r="H82" s="45"/>
      <c r="I82" s="45"/>
      <c r="J82" s="45"/>
      <c r="K82" s="45"/>
      <c r="L82" s="45"/>
      <c r="M82" s="45"/>
      <c r="N82" s="45"/>
      <c r="O82" s="45"/>
      <c r="P82" s="45"/>
      <c r="Q82" s="45"/>
      <c r="R82" s="45"/>
      <c r="S82" s="45"/>
      <c r="T82" s="45"/>
      <c r="U82" s="45"/>
      <c r="V82" s="45"/>
      <c r="W82" s="45"/>
    </row>
    <row r="83" spans="1:23" ht="15.75" customHeight="1">
      <c r="A83" s="45"/>
      <c r="B83" s="45"/>
      <c r="C83" s="45"/>
      <c r="D83" s="45"/>
      <c r="E83" s="45"/>
      <c r="F83" s="45"/>
      <c r="G83" s="45"/>
      <c r="H83" s="45"/>
      <c r="I83" s="45"/>
      <c r="J83" s="45"/>
      <c r="K83" s="45"/>
      <c r="L83" s="45"/>
      <c r="M83" s="45"/>
      <c r="N83" s="45"/>
      <c r="O83" s="45"/>
      <c r="P83" s="45"/>
      <c r="Q83" s="45"/>
      <c r="R83" s="45"/>
      <c r="S83" s="45"/>
      <c r="T83" s="45"/>
      <c r="U83" s="45"/>
      <c r="V83" s="45"/>
      <c r="W83" s="45"/>
    </row>
    <row r="84" spans="1:23" ht="15.75" customHeight="1">
      <c r="A84" s="45"/>
      <c r="B84" s="45"/>
      <c r="C84" s="45"/>
      <c r="D84" s="45"/>
      <c r="E84" s="45"/>
      <c r="F84" s="45"/>
      <c r="G84" s="45"/>
      <c r="H84" s="45"/>
      <c r="I84" s="45"/>
      <c r="J84" s="45"/>
      <c r="K84" s="45"/>
      <c r="L84" s="45"/>
      <c r="M84" s="45"/>
      <c r="N84" s="45"/>
      <c r="O84" s="45"/>
      <c r="P84" s="45"/>
      <c r="Q84" s="45"/>
      <c r="R84" s="45"/>
      <c r="S84" s="45"/>
      <c r="T84" s="45"/>
      <c r="U84" s="45"/>
      <c r="V84" s="45"/>
      <c r="W84" s="45"/>
    </row>
    <row r="85" spans="1:23" ht="15.75" customHeight="1">
      <c r="A85" s="45"/>
      <c r="B85" s="45"/>
      <c r="C85" s="45"/>
      <c r="D85" s="45"/>
      <c r="E85" s="45"/>
      <c r="F85" s="45"/>
      <c r="G85" s="45"/>
      <c r="H85" s="45"/>
      <c r="I85" s="45"/>
      <c r="J85" s="45"/>
      <c r="K85" s="45"/>
      <c r="L85" s="45"/>
      <c r="M85" s="45"/>
      <c r="N85" s="45"/>
      <c r="O85" s="45"/>
      <c r="P85" s="45"/>
      <c r="Q85" s="45"/>
      <c r="R85" s="45"/>
      <c r="S85" s="45"/>
      <c r="T85" s="45"/>
      <c r="U85" s="45"/>
      <c r="V85" s="45"/>
      <c r="W85" s="45"/>
    </row>
    <row r="86" spans="1:23" ht="15.75" customHeight="1">
      <c r="A86" s="45"/>
      <c r="B86" s="45"/>
      <c r="C86" s="45"/>
      <c r="D86" s="45"/>
      <c r="E86" s="45"/>
      <c r="F86" s="45"/>
      <c r="G86" s="45"/>
      <c r="H86" s="45"/>
      <c r="I86" s="45"/>
      <c r="J86" s="45"/>
      <c r="K86" s="45"/>
      <c r="L86" s="45"/>
      <c r="M86" s="45"/>
      <c r="N86" s="45"/>
      <c r="O86" s="45"/>
      <c r="P86" s="45"/>
      <c r="Q86" s="45"/>
      <c r="R86" s="45"/>
      <c r="S86" s="45"/>
      <c r="T86" s="45"/>
      <c r="U86" s="45"/>
      <c r="V86" s="45"/>
      <c r="W86" s="45"/>
    </row>
    <row r="87" spans="1:23" ht="15.75" customHeight="1">
      <c r="A87" s="45"/>
      <c r="B87" s="45"/>
      <c r="C87" s="45"/>
      <c r="D87" s="45"/>
      <c r="E87" s="45"/>
      <c r="F87" s="45"/>
      <c r="G87" s="45"/>
      <c r="H87" s="45"/>
      <c r="I87" s="45"/>
      <c r="J87" s="45"/>
      <c r="K87" s="45"/>
      <c r="L87" s="45"/>
      <c r="M87" s="45"/>
      <c r="N87" s="45"/>
      <c r="O87" s="45"/>
      <c r="P87" s="45"/>
      <c r="Q87" s="45"/>
      <c r="R87" s="45"/>
      <c r="S87" s="45"/>
      <c r="T87" s="45"/>
      <c r="U87" s="45"/>
      <c r="V87" s="45"/>
      <c r="W87" s="45"/>
    </row>
    <row r="88" spans="1:23" ht="15.75" customHeight="1">
      <c r="A88" s="45"/>
      <c r="B88" s="45"/>
      <c r="C88" s="45"/>
      <c r="D88" s="45"/>
      <c r="E88" s="45"/>
      <c r="F88" s="45"/>
      <c r="G88" s="45"/>
      <c r="H88" s="45"/>
      <c r="I88" s="45"/>
      <c r="J88" s="45"/>
      <c r="K88" s="45"/>
      <c r="L88" s="45"/>
      <c r="M88" s="45"/>
      <c r="N88" s="45"/>
      <c r="O88" s="45"/>
      <c r="P88" s="45"/>
      <c r="Q88" s="45"/>
      <c r="R88" s="45"/>
      <c r="S88" s="45"/>
      <c r="T88" s="45"/>
      <c r="U88" s="45"/>
      <c r="V88" s="45"/>
      <c r="W88" s="45"/>
    </row>
    <row r="89" spans="1:23" ht="15.75" customHeight="1">
      <c r="A89" s="45"/>
      <c r="B89" s="45"/>
      <c r="C89" s="45"/>
      <c r="D89" s="45"/>
      <c r="E89" s="45"/>
      <c r="F89" s="45"/>
      <c r="G89" s="45"/>
      <c r="H89" s="45"/>
      <c r="I89" s="45"/>
      <c r="J89" s="45"/>
      <c r="K89" s="45"/>
      <c r="L89" s="45"/>
      <c r="M89" s="45"/>
      <c r="N89" s="45"/>
      <c r="O89" s="45"/>
      <c r="P89" s="45"/>
      <c r="Q89" s="45"/>
      <c r="R89" s="45"/>
      <c r="S89" s="45"/>
      <c r="T89" s="45"/>
      <c r="U89" s="45"/>
      <c r="V89" s="45"/>
      <c r="W89" s="45"/>
    </row>
    <row r="90" spans="1:23" ht="15.75" customHeight="1">
      <c r="A90" s="45"/>
      <c r="B90" s="45"/>
      <c r="C90" s="45"/>
      <c r="D90" s="45"/>
      <c r="E90" s="45"/>
      <c r="F90" s="45"/>
      <c r="G90" s="45"/>
      <c r="H90" s="45"/>
      <c r="I90" s="45"/>
      <c r="J90" s="45"/>
      <c r="K90" s="45"/>
      <c r="L90" s="45"/>
      <c r="M90" s="45"/>
      <c r="N90" s="45"/>
      <c r="O90" s="45"/>
      <c r="P90" s="45"/>
      <c r="Q90" s="45"/>
      <c r="R90" s="45"/>
      <c r="S90" s="45"/>
      <c r="T90" s="45"/>
      <c r="U90" s="45"/>
      <c r="V90" s="45"/>
      <c r="W90" s="45"/>
    </row>
    <row r="91" spans="1:23" ht="15.75" customHeight="1">
      <c r="A91" s="45"/>
      <c r="B91" s="45"/>
      <c r="C91" s="45"/>
      <c r="D91" s="45"/>
      <c r="E91" s="45"/>
      <c r="F91" s="45"/>
      <c r="G91" s="45"/>
      <c r="H91" s="45"/>
      <c r="I91" s="45"/>
      <c r="J91" s="45"/>
      <c r="K91" s="45"/>
      <c r="L91" s="45"/>
      <c r="M91" s="45"/>
      <c r="N91" s="45"/>
      <c r="O91" s="45"/>
      <c r="P91" s="45"/>
      <c r="Q91" s="45"/>
      <c r="R91" s="45"/>
      <c r="S91" s="45"/>
      <c r="T91" s="45"/>
      <c r="U91" s="45"/>
      <c r="V91" s="45"/>
      <c r="W91" s="45"/>
    </row>
    <row r="92" spans="1:23" ht="15.75" customHeight="1">
      <c r="A92" s="45"/>
      <c r="B92" s="45"/>
      <c r="C92" s="45"/>
      <c r="D92" s="45"/>
      <c r="E92" s="45"/>
      <c r="F92" s="45"/>
      <c r="G92" s="45"/>
      <c r="H92" s="45"/>
      <c r="I92" s="45"/>
      <c r="J92" s="45"/>
      <c r="K92" s="45"/>
      <c r="L92" s="45"/>
      <c r="M92" s="45"/>
      <c r="N92" s="45"/>
      <c r="O92" s="45"/>
      <c r="P92" s="45"/>
      <c r="Q92" s="45"/>
      <c r="R92" s="45"/>
      <c r="S92" s="45"/>
      <c r="T92" s="45"/>
      <c r="U92" s="45"/>
      <c r="V92" s="45"/>
      <c r="W92" s="45"/>
    </row>
    <row r="93" spans="1:23" ht="15.75" customHeight="1">
      <c r="A93" s="45"/>
      <c r="B93" s="45"/>
      <c r="C93" s="45"/>
      <c r="D93" s="45"/>
      <c r="E93" s="45"/>
      <c r="F93" s="45"/>
      <c r="G93" s="45"/>
      <c r="H93" s="45"/>
      <c r="I93" s="45"/>
      <c r="J93" s="45"/>
      <c r="K93" s="45"/>
      <c r="L93" s="45"/>
      <c r="M93" s="45"/>
      <c r="N93" s="45"/>
      <c r="O93" s="45"/>
      <c r="P93" s="45"/>
      <c r="Q93" s="45"/>
      <c r="R93" s="45"/>
      <c r="S93" s="45"/>
      <c r="T93" s="45"/>
      <c r="U93" s="45"/>
      <c r="V93" s="45"/>
      <c r="W93" s="45"/>
    </row>
    <row r="94" spans="1:23" ht="15.75" customHeight="1">
      <c r="A94" s="45"/>
      <c r="B94" s="45"/>
      <c r="C94" s="45"/>
      <c r="D94" s="45"/>
      <c r="E94" s="45"/>
      <c r="F94" s="45"/>
      <c r="G94" s="45"/>
      <c r="H94" s="45"/>
      <c r="I94" s="45"/>
      <c r="J94" s="45"/>
      <c r="K94" s="45"/>
      <c r="L94" s="45"/>
      <c r="M94" s="45"/>
      <c r="N94" s="45"/>
      <c r="O94" s="45"/>
      <c r="P94" s="45"/>
      <c r="Q94" s="45"/>
      <c r="R94" s="45"/>
      <c r="S94" s="45"/>
      <c r="T94" s="45"/>
      <c r="U94" s="45"/>
      <c r="V94" s="45"/>
      <c r="W94" s="45"/>
    </row>
    <row r="95" spans="1:23" ht="15.75" customHeight="1">
      <c r="A95" s="45"/>
      <c r="B95" s="45"/>
      <c r="C95" s="45"/>
      <c r="D95" s="45"/>
      <c r="E95" s="45"/>
      <c r="F95" s="45"/>
      <c r="G95" s="45"/>
      <c r="H95" s="45"/>
      <c r="I95" s="45"/>
      <c r="J95" s="45"/>
      <c r="K95" s="45"/>
      <c r="L95" s="45"/>
      <c r="M95" s="45"/>
      <c r="N95" s="45"/>
      <c r="O95" s="45"/>
      <c r="P95" s="45"/>
      <c r="Q95" s="45"/>
      <c r="R95" s="45"/>
      <c r="S95" s="45"/>
      <c r="T95" s="45"/>
      <c r="U95" s="45"/>
      <c r="V95" s="45"/>
      <c r="W95" s="45"/>
    </row>
    <row r="96" spans="1:23" ht="15.75" customHeight="1">
      <c r="A96" s="45"/>
      <c r="B96" s="45"/>
      <c r="C96" s="45"/>
      <c r="D96" s="45"/>
      <c r="E96" s="45"/>
      <c r="F96" s="45"/>
      <c r="G96" s="45"/>
      <c r="H96" s="45"/>
      <c r="I96" s="45"/>
      <c r="J96" s="45"/>
      <c r="K96" s="45"/>
      <c r="L96" s="45"/>
      <c r="M96" s="45"/>
      <c r="N96" s="45"/>
      <c r="O96" s="45"/>
      <c r="P96" s="45"/>
      <c r="Q96" s="45"/>
      <c r="R96" s="45"/>
      <c r="S96" s="45"/>
      <c r="T96" s="45"/>
      <c r="U96" s="45"/>
      <c r="V96" s="45"/>
      <c r="W96" s="45"/>
    </row>
    <row r="97" spans="1:23" ht="15.75" customHeight="1">
      <c r="A97" s="45"/>
      <c r="B97" s="45"/>
      <c r="C97" s="45"/>
      <c r="D97" s="45"/>
      <c r="E97" s="45"/>
      <c r="F97" s="45"/>
      <c r="G97" s="45"/>
      <c r="H97" s="45"/>
      <c r="I97" s="45"/>
      <c r="J97" s="45"/>
      <c r="K97" s="45"/>
      <c r="L97" s="45"/>
      <c r="M97" s="45"/>
      <c r="N97" s="45"/>
      <c r="O97" s="45"/>
      <c r="P97" s="45"/>
      <c r="Q97" s="45"/>
      <c r="R97" s="45"/>
      <c r="S97" s="45"/>
      <c r="T97" s="45"/>
      <c r="U97" s="45"/>
      <c r="V97" s="45"/>
      <c r="W97" s="45"/>
    </row>
    <row r="98" spans="1:23" ht="15.75" customHeight="1">
      <c r="A98" s="45"/>
      <c r="B98" s="45"/>
      <c r="C98" s="45"/>
      <c r="D98" s="45"/>
      <c r="E98" s="45"/>
      <c r="F98" s="45"/>
      <c r="G98" s="45"/>
      <c r="H98" s="45"/>
      <c r="I98" s="45"/>
      <c r="J98" s="45"/>
      <c r="K98" s="45"/>
      <c r="L98" s="45"/>
      <c r="M98" s="45"/>
      <c r="N98" s="45"/>
      <c r="O98" s="45"/>
      <c r="P98" s="45"/>
      <c r="Q98" s="45"/>
      <c r="R98" s="45"/>
      <c r="S98" s="45"/>
      <c r="T98" s="45"/>
      <c r="U98" s="45"/>
      <c r="V98" s="45"/>
      <c r="W98" s="45"/>
    </row>
    <row r="99" spans="1:23" ht="15.75" customHeight="1">
      <c r="A99" s="45"/>
      <c r="B99" s="45"/>
      <c r="C99" s="45"/>
      <c r="D99" s="45"/>
      <c r="E99" s="45"/>
      <c r="F99" s="45"/>
      <c r="G99" s="45"/>
      <c r="H99" s="45"/>
      <c r="I99" s="45"/>
      <c r="J99" s="45"/>
      <c r="K99" s="45"/>
      <c r="L99" s="45"/>
      <c r="M99" s="45"/>
      <c r="N99" s="45"/>
      <c r="O99" s="45"/>
      <c r="P99" s="45"/>
      <c r="Q99" s="45"/>
      <c r="R99" s="45"/>
      <c r="S99" s="45"/>
      <c r="T99" s="45"/>
      <c r="U99" s="45"/>
      <c r="V99" s="45"/>
      <c r="W99" s="45"/>
    </row>
    <row r="100" spans="1:23" ht="15.7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row>
    <row r="101" spans="1:23" ht="15.7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row>
    <row r="102" spans="1:23" ht="15.7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row>
    <row r="103" spans="1:23" ht="15.7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row>
    <row r="104" spans="1:23" ht="15.7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row>
    <row r="105" spans="1:23" ht="15.7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row>
    <row r="106" spans="1:23" ht="15.7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row>
    <row r="107" spans="1:23" ht="15.7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row>
    <row r="108" spans="1:23" ht="15.7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row>
    <row r="109" spans="1:23" ht="15.7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row>
    <row r="110" spans="1:23" ht="15.7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row>
    <row r="111" spans="1:23" ht="15.7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row>
    <row r="112" spans="1:23" ht="15.7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row>
    <row r="113" spans="1:23" ht="15.7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row>
    <row r="114" spans="1:23" ht="15.7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row>
    <row r="115" spans="1:23" ht="15.7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row>
    <row r="116" spans="1:23" ht="15.7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row>
    <row r="117" spans="1:23" ht="15.7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row>
    <row r="118" spans="1:23" ht="15.7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row>
    <row r="119" spans="1:23" ht="15.7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row>
    <row r="120" spans="1:23" ht="15.7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row>
    <row r="121" spans="1:23" ht="15.7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row>
    <row r="122" spans="1:23" ht="15.7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row>
    <row r="123" spans="1:23" ht="15.7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row>
    <row r="124" spans="1:23" ht="15.7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row>
    <row r="125" spans="1:23" ht="15.7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row>
    <row r="126" spans="1:23" ht="15.7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row>
    <row r="127" spans="1:23" ht="15.7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row>
    <row r="128" spans="1:23" ht="15.7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row>
    <row r="129" spans="1:23" ht="15.7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row>
    <row r="130" spans="1:23" ht="15.7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row>
    <row r="131" spans="1:23" ht="15.7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row>
    <row r="132" spans="1:23" ht="15.7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row>
    <row r="133" spans="1:23" ht="15.7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row>
    <row r="134" spans="1:23" ht="15.7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row>
    <row r="135" spans="1:23" ht="15.7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row>
    <row r="136" spans="1:23" ht="15.7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row>
    <row r="137" spans="1:23" ht="15.7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row>
    <row r="138" spans="1:23" ht="15.7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row>
    <row r="139" spans="1:23" ht="15.7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row>
    <row r="140" spans="1:23" ht="15.7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row>
    <row r="141" spans="1:23" ht="15.7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row>
    <row r="142" spans="1:23" ht="15.7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row>
    <row r="143" spans="1:23" ht="15.7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row>
    <row r="144" spans="1:23" ht="15.7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row>
    <row r="145" spans="1:23" ht="15.7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row>
    <row r="146" spans="1:23" ht="15.7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row>
    <row r="147" spans="1:23" ht="15.7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row>
    <row r="148" spans="1:23" ht="15.7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row>
    <row r="149" spans="1:23" ht="15.7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row>
    <row r="150" spans="1:23" ht="15.7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row>
    <row r="151" spans="1:23" ht="15.7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row>
    <row r="152" spans="1:23" ht="15.7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row>
    <row r="153" spans="1:23" ht="15.7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row>
    <row r="154" spans="1:23" ht="15.7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row>
    <row r="155" spans="1:23" ht="15.7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row>
    <row r="156" spans="1:23" ht="15.7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row>
    <row r="157" spans="1:23" ht="15.7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row>
    <row r="158" spans="1:23" ht="15.7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row>
    <row r="159" spans="1:23" ht="15.7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row>
    <row r="160" spans="1:23" ht="15.7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row>
    <row r="161" spans="1:23" ht="15.7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row>
    <row r="162" spans="1:23" ht="15.7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row>
    <row r="163" spans="1:23" ht="15.7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row>
    <row r="164" spans="1:23" ht="15.7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row>
    <row r="165" spans="1:23" ht="15.7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row>
    <row r="166" spans="1:23" ht="15.7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row>
    <row r="167" spans="1:23" ht="15.7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row>
    <row r="168" spans="1:23" ht="15.7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row>
    <row r="169" spans="1:23" ht="15.7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row>
    <row r="170" spans="1:23" ht="15.7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row>
    <row r="171" spans="1:23" ht="15.7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row>
    <row r="172" spans="1:23" ht="15.7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row>
    <row r="173" spans="1:23" ht="15.7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row>
    <row r="174" spans="1:23" ht="15.7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row>
    <row r="175" spans="1:23" ht="15.7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row>
    <row r="176" spans="1:23" ht="15.7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row>
    <row r="177" spans="1:23" ht="15.7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row>
    <row r="178" spans="1:23" ht="15.7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row>
    <row r="179" spans="1:23" ht="15.7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row>
    <row r="180" spans="1:23" ht="15.7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row>
    <row r="181" spans="1:23" ht="15.7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row>
    <row r="182" spans="1:23" ht="15.7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row>
    <row r="183" spans="1:23" ht="15.7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row>
    <row r="184" spans="1:23" ht="15.7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row>
    <row r="185" spans="1:23" ht="15.7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row>
    <row r="186" spans="1:23" ht="15.7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row>
    <row r="187" spans="1:23" ht="15.7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row>
    <row r="188" spans="1:23" ht="15.7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row>
    <row r="189" spans="1:23" ht="15.7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row>
    <row r="190" spans="1:23" ht="15.7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row>
    <row r="191" spans="1:23" ht="15.7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row>
    <row r="192" spans="1:23" ht="15.7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row>
    <row r="193" spans="1:23" ht="15.7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row>
    <row r="194" spans="1:23" ht="15.7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row>
    <row r="195" spans="1:23" ht="15.7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row>
    <row r="196" spans="1:23" ht="15.7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row>
    <row r="197" spans="1:23" ht="15.7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row>
    <row r="198" spans="1:23" ht="15.7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row>
    <row r="199" spans="1:23" ht="15.7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row>
    <row r="200" spans="1:23" ht="15.7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row>
    <row r="201" spans="1:23" ht="15.7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row>
    <row r="202" spans="1:23" ht="15.7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row>
    <row r="203" spans="1:23" ht="15.7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row>
    <row r="204" spans="1:23" ht="15.7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row>
    <row r="205" spans="1:23" ht="15.7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row>
    <row r="206" spans="1:23" ht="15.7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row>
    <row r="207" spans="1:23" ht="15.7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row>
    <row r="208" spans="1:23" ht="15.7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row>
    <row r="209" spans="1:23" ht="15.7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row>
    <row r="210" spans="1:23" ht="15.7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row>
    <row r="211" spans="1:23" ht="15.7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row>
    <row r="212" spans="1:23" ht="15.7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row>
    <row r="213" spans="1:23" ht="15.7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row>
    <row r="214" spans="1:23" ht="15.7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row>
    <row r="215" spans="1:23" ht="15.7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row>
    <row r="216" spans="1:23" ht="15.7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row>
    <row r="217" spans="1:23" ht="15.7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row>
    <row r="218" spans="1:23" ht="15.7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row>
    <row r="219" spans="1:23" ht="15.7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row>
    <row r="220" spans="1:23" ht="15.7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row>
    <row r="221" spans="1:23" ht="15.75" customHeight="1"/>
    <row r="222" spans="1:23" ht="15.75" customHeight="1"/>
    <row r="223" spans="1:23" ht="15.75" customHeight="1"/>
    <row r="224" spans="1:2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1" r:id="rId1" xr:uid="{00000000-0004-0000-0F00-000000000000}"/>
    <hyperlink ref="A2" r:id="rId2" xr:uid="{00000000-0004-0000-0F00-000001000000}"/>
    <hyperlink ref="A3" r:id="rId3" xr:uid="{00000000-0004-0000-0F00-000002000000}"/>
    <hyperlink ref="A4" r:id="rId4" xr:uid="{00000000-0004-0000-0F00-000003000000}"/>
    <hyperlink ref="A5" r:id="rId5" xr:uid="{00000000-0004-0000-0F00-000004000000}"/>
    <hyperlink ref="A6" r:id="rId6" xr:uid="{00000000-0004-0000-0F00-000005000000}"/>
    <hyperlink ref="A7" r:id="rId7" xr:uid="{00000000-0004-0000-0F00-000006000000}"/>
    <hyperlink ref="A8" r:id="rId8" xr:uid="{00000000-0004-0000-0F00-000007000000}"/>
    <hyperlink ref="A9" r:id="rId9" xr:uid="{00000000-0004-0000-0F00-000008000000}"/>
    <hyperlink ref="A10" r:id="rId10" xr:uid="{00000000-0004-0000-0F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outlinePr summaryBelow="0" summaryRight="0"/>
  </sheetPr>
  <dimension ref="A1:G1000"/>
  <sheetViews>
    <sheetView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2.6640625" defaultRowHeight="15" customHeight="1"/>
  <sheetData>
    <row r="1" spans="1:7" ht="15.75" customHeight="1">
      <c r="A1" s="14"/>
      <c r="B1" s="213" t="s">
        <v>29</v>
      </c>
      <c r="C1" s="214"/>
      <c r="D1" s="214"/>
      <c r="E1" s="213" t="s">
        <v>30</v>
      </c>
      <c r="F1" s="214"/>
      <c r="G1" s="214"/>
    </row>
    <row r="2" spans="1:7" ht="15.75" customHeight="1">
      <c r="A2" s="15" t="s">
        <v>31</v>
      </c>
      <c r="B2" s="16" t="s">
        <v>32</v>
      </c>
      <c r="C2" s="17" t="s">
        <v>33</v>
      </c>
      <c r="D2" s="18" t="s">
        <v>34</v>
      </c>
      <c r="E2" s="16" t="s">
        <v>32</v>
      </c>
      <c r="F2" s="19" t="s">
        <v>33</v>
      </c>
      <c r="G2" s="20" t="s">
        <v>35</v>
      </c>
    </row>
    <row r="3" spans="1:7" ht="15.75" customHeight="1">
      <c r="A3" s="21"/>
      <c r="B3" s="22" t="s">
        <v>36</v>
      </c>
      <c r="C3" s="23" t="s">
        <v>36</v>
      </c>
      <c r="D3" s="24" t="s">
        <v>36</v>
      </c>
      <c r="E3" s="22" t="s">
        <v>36</v>
      </c>
      <c r="F3" s="25" t="s">
        <v>36</v>
      </c>
      <c r="G3" s="24" t="s">
        <v>36</v>
      </c>
    </row>
    <row r="4" spans="1:7" ht="15.75" customHeight="1">
      <c r="A4" s="26" t="s">
        <v>37</v>
      </c>
      <c r="B4" s="27">
        <f>VLOOKUP($A4,'Beef Enteric inventory'!$AE$4:$AF$51,2,FALSE)</f>
        <v>3.3094696855345918</v>
      </c>
      <c r="C4" s="28">
        <f>VLOOKUP($A4,'Beef Manure Inventory'!$A$4:$AI$51,30,FALSE)+VLOOKUP($A4,'Beef Manure Inventory'!$A$4:$AI$51,31,FALSE)+VLOOKUP($A4,'Beef Manure Inventory'!$A$4:$AL$51,36,FALSE)+VLOOKUP($A4,'Beef Manure Inventory'!$A$4:$AL$51,37,FALSE)</f>
        <v>0.48008948686593533</v>
      </c>
      <c r="D4" s="29">
        <f t="shared" ref="D4:D51" si="0">SUM(B4:C4)</f>
        <v>3.7895591724005273</v>
      </c>
      <c r="E4" s="30">
        <f>SUM('Dairy Enteric Inventory'!M6:P6)</f>
        <v>8.9748090932572318</v>
      </c>
      <c r="F4" s="28">
        <f>SUM('Dairy Manure Inventory'!AM4:AP4)</f>
        <v>11.659029825251519</v>
      </c>
      <c r="G4" s="29">
        <f t="shared" ref="G4:G51" si="1">SUM(E4:F4)</f>
        <v>20.633838918508751</v>
      </c>
    </row>
    <row r="5" spans="1:7" ht="15.75" customHeight="1">
      <c r="A5" s="26" t="s">
        <v>38</v>
      </c>
      <c r="B5" s="27">
        <f>VLOOKUP($A5,'Beef Enteric inventory'!$AE$4:$AF$51,2,FALSE)</f>
        <v>1.9954133333333335</v>
      </c>
      <c r="C5" s="28">
        <f>VLOOKUP($A5,'Beef Manure Inventory'!$A$4:$AI$51,30,FALSE)+VLOOKUP($A5,'Beef Manure Inventory'!$A$4:$AI$51,31,FALSE)+VLOOKUP($A5,'Beef Manure Inventory'!$A$4:$AL$51,36,FALSE)+VLOOKUP($A5,'Beef Manure Inventory'!$A$4:$AL$51,37,FALSE)</f>
        <v>0.25809391162555073</v>
      </c>
      <c r="D5" s="29">
        <f t="shared" si="0"/>
        <v>2.2535072449588842</v>
      </c>
      <c r="E5" s="30">
        <f>SUM('Dairy Enteric Inventory'!M7:P7)</f>
        <v>2.3818319598617399</v>
      </c>
      <c r="F5" s="28">
        <f>SUM('Dairy Manure Inventory'!AM5:AP5)</f>
        <v>1.7879415156959526</v>
      </c>
      <c r="G5" s="29">
        <f t="shared" si="1"/>
        <v>4.1697734755576921</v>
      </c>
    </row>
    <row r="6" spans="1:7" ht="15.75" customHeight="1">
      <c r="A6" s="26" t="s">
        <v>39</v>
      </c>
      <c r="B6" s="27">
        <f>VLOOKUP($A6,'Beef Enteric inventory'!$AE$4:$AF$51,2,FALSE)</f>
        <v>0.44483874213836472</v>
      </c>
      <c r="C6" s="28">
        <f>VLOOKUP($A6,'Beef Manure Inventory'!$A$4:$AI$51,30,FALSE)+VLOOKUP($A6,'Beef Manure Inventory'!$A$4:$AI$51,31,FALSE)+VLOOKUP($A6,'Beef Manure Inventory'!$A$4:$AL$51,36,FALSE)+VLOOKUP($A6,'Beef Manure Inventory'!$A$4:$AL$51,37,FALSE)</f>
        <v>3.6748672640755889E-2</v>
      </c>
      <c r="D6" s="29">
        <f t="shared" si="0"/>
        <v>0.48158741477912059</v>
      </c>
      <c r="E6" s="30">
        <f>SUM('Dairy Enteric Inventory'!M8:P8)</f>
        <v>3.3825833068199507</v>
      </c>
      <c r="F6" s="28">
        <f>SUM('Dairy Manure Inventory'!AM6:AP6)</f>
        <v>3.1236451294814001</v>
      </c>
      <c r="G6" s="29">
        <f t="shared" si="1"/>
        <v>6.5062284363013507</v>
      </c>
    </row>
    <row r="7" spans="1:7" ht="15.75" customHeight="1">
      <c r="A7" s="31" t="s">
        <v>40</v>
      </c>
      <c r="B7" s="27">
        <f>VLOOKUP($A7,'Beef Enteric inventory'!$AE$4:$AF$51,2,FALSE)</f>
        <v>2.1845559748427674</v>
      </c>
      <c r="C7" s="28">
        <f>VLOOKUP($A7,'Beef Manure Inventory'!$A$4:$AI$51,30,FALSE)+VLOOKUP($A7,'Beef Manure Inventory'!$A$4:$AI$51,31,FALSE)+VLOOKUP($A7,'Beef Manure Inventory'!$A$4:$AL$51,36,FALSE)+VLOOKUP($A7,'Beef Manure Inventory'!$A$4:$AL$51,37,FALSE)</f>
        <v>0.14653959899280733</v>
      </c>
      <c r="D7" s="29">
        <f t="shared" si="0"/>
        <v>2.331095573835575</v>
      </c>
      <c r="E7" s="30">
        <f>SUM('Dairy Enteric Inventory'!M9:P9)</f>
        <v>2.1125120996616668E-2</v>
      </c>
      <c r="F7" s="28">
        <f>SUM('Dairy Manure Inventory'!AM7:AP7)</f>
        <v>1.1663723389857897E-2</v>
      </c>
      <c r="G7" s="29">
        <f t="shared" si="1"/>
        <v>3.2788844386474565E-2</v>
      </c>
    </row>
    <row r="8" spans="1:7" ht="15.75" customHeight="1">
      <c r="A8" s="31" t="s">
        <v>41</v>
      </c>
      <c r="B8" s="27">
        <f>VLOOKUP($A8,'Beef Enteric inventory'!$AE$4:$AF$51,2,FALSE)</f>
        <v>2.9183642767295606</v>
      </c>
      <c r="C8" s="28">
        <f>VLOOKUP($A8,'Beef Manure Inventory'!$A$4:$AI$51,30,FALSE)+VLOOKUP($A8,'Beef Manure Inventory'!$A$4:$AI$51,31,FALSE)+VLOOKUP($A8,'Beef Manure Inventory'!$A$4:$AL$51,36,FALSE)+VLOOKUP($A8,'Beef Manure Inventory'!$A$4:$AL$51,37,FALSE)</f>
        <v>0.1969858645935991</v>
      </c>
      <c r="D8" s="29">
        <f t="shared" si="0"/>
        <v>3.1153501413231597</v>
      </c>
      <c r="E8" s="30">
        <f>SUM('Dairy Enteric Inventory'!M10:P10)</f>
        <v>2.7976102191221743E-2</v>
      </c>
      <c r="F8" s="28">
        <f>SUM('Dairy Manure Inventory'!AM8:AP8)</f>
        <v>1.3375298216008434E-2</v>
      </c>
      <c r="G8" s="29">
        <f t="shared" si="1"/>
        <v>4.1351400407230177E-2</v>
      </c>
    </row>
    <row r="9" spans="1:7" ht="15.75" customHeight="1">
      <c r="A9" s="31" t="s">
        <v>42</v>
      </c>
      <c r="B9" s="27">
        <f>VLOOKUP($A9,'Beef Enteric inventory'!$AE$4:$AF$51,2,FALSE)</f>
        <v>1.0847788679245283</v>
      </c>
      <c r="C9" s="28">
        <f>VLOOKUP($A9,'Beef Manure Inventory'!$A$4:$AI$51,30,FALSE)+VLOOKUP($A9,'Beef Manure Inventory'!$A$4:$AI$51,31,FALSE)+VLOOKUP($A9,'Beef Manure Inventory'!$A$4:$AL$51,36,FALSE)+VLOOKUP($A9,'Beef Manure Inventory'!$A$4:$AL$51,37,FALSE)</f>
        <v>0.14523498984373762</v>
      </c>
      <c r="D9" s="29">
        <f t="shared" si="0"/>
        <v>1.2300138577682658</v>
      </c>
      <c r="E9" s="30">
        <f>SUM('Dairy Enteric Inventory'!M11:P11)</f>
        <v>1.0758356923014096</v>
      </c>
      <c r="F9" s="28">
        <f>SUM('Dairy Manure Inventory'!AM9:AP9)</f>
        <v>1.0113261470013282</v>
      </c>
      <c r="G9" s="29">
        <f t="shared" si="1"/>
        <v>2.0871618393027376</v>
      </c>
    </row>
    <row r="10" spans="1:7" ht="15.75" customHeight="1">
      <c r="A10" s="31" t="s">
        <v>43</v>
      </c>
      <c r="B10" s="27">
        <f>VLOOKUP($A10,'Beef Enteric inventory'!$AE$4:$AF$51,2,FALSE)</f>
        <v>4.6791038993710696</v>
      </c>
      <c r="C10" s="28">
        <f>VLOOKUP($A10,'Beef Manure Inventory'!$A$4:$AI$51,30,FALSE)+VLOOKUP($A10,'Beef Manure Inventory'!$A$4:$AI$51,31,FALSE)+VLOOKUP($A10,'Beef Manure Inventory'!$A$4:$AL$51,36,FALSE)+VLOOKUP($A10,'Beef Manure Inventory'!$A$4:$AL$51,37,FALSE)</f>
        <v>0.60055581204123654</v>
      </c>
      <c r="D10" s="29">
        <f t="shared" si="0"/>
        <v>5.2796597114123065</v>
      </c>
      <c r="E10" s="30">
        <f>SUM('Dairy Enteric Inventory'!M12:P12)</f>
        <v>1.038306155519126</v>
      </c>
      <c r="F10" s="28">
        <f>SUM('Dairy Manure Inventory'!AM10:AP10)</f>
        <v>0.83168408222820789</v>
      </c>
      <c r="G10" s="29">
        <f t="shared" si="1"/>
        <v>1.8699902377473339</v>
      </c>
    </row>
    <row r="11" spans="1:7" ht="15.75" customHeight="1">
      <c r="A11" s="31" t="s">
        <v>44</v>
      </c>
      <c r="B11" s="27">
        <f>VLOOKUP($A11,'Beef Enteric inventory'!$AE$4:$AF$51,2,FALSE)</f>
        <v>1.9818867924528309E-2</v>
      </c>
      <c r="C11" s="28">
        <f>VLOOKUP($A11,'Beef Manure Inventory'!$A$4:$AI$51,30,FALSE)+VLOOKUP($A11,'Beef Manure Inventory'!$A$4:$AI$51,31,FALSE)+VLOOKUP($A11,'Beef Manure Inventory'!$A$4:$AL$51,36,FALSE)+VLOOKUP($A11,'Beef Manure Inventory'!$A$4:$AL$51,37,FALSE)</f>
        <v>1.4777751974372573E-3</v>
      </c>
      <c r="D11" s="29">
        <f t="shared" si="0"/>
        <v>2.1296643121965567E-2</v>
      </c>
      <c r="E11" s="30">
        <f>SUM('Dairy Enteric Inventory'!M13:P13)</f>
        <v>0.1076549404380376</v>
      </c>
      <c r="F11" s="28">
        <f>SUM('Dairy Manure Inventory'!AM11:AP11)</f>
        <v>9.6281161395045126E-2</v>
      </c>
      <c r="G11" s="29">
        <f t="shared" si="1"/>
        <v>0.20393610183308272</v>
      </c>
    </row>
    <row r="12" spans="1:7" ht="15.75" customHeight="1">
      <c r="A12" s="31" t="s">
        <v>45</v>
      </c>
      <c r="B12" s="27">
        <f>VLOOKUP($A12,'Beef Enteric inventory'!$AE$4:$AF$51,2,FALSE)</f>
        <v>8.0779874213836485E-3</v>
      </c>
      <c r="C12" s="28">
        <f>VLOOKUP($A12,'Beef Manure Inventory'!$A$4:$AI$51,30,FALSE)+VLOOKUP($A12,'Beef Manure Inventory'!$A$4:$AI$51,31,FALSE)+VLOOKUP($A12,'Beef Manure Inventory'!$A$4:$AL$51,36,FALSE)+VLOOKUP($A12,'Beef Manure Inventory'!$A$4:$AL$51,37,FALSE)</f>
        <v>4.7257924066194284E-4</v>
      </c>
      <c r="D12" s="29">
        <f t="shared" si="0"/>
        <v>8.550566662045591E-3</v>
      </c>
      <c r="E12" s="30">
        <f>SUM('Dairy Enteric Inventory'!M14:P14)</f>
        <v>2.1173192869981799E-2</v>
      </c>
      <c r="F12" s="28">
        <f>SUM('Dairy Manure Inventory'!AM12:AP12)</f>
        <v>1.8269403492363886E-2</v>
      </c>
      <c r="G12" s="29">
        <f t="shared" si="1"/>
        <v>3.9442596362345685E-2</v>
      </c>
    </row>
    <row r="13" spans="1:7" ht="15.75" customHeight="1">
      <c r="A13" s="31" t="s">
        <v>46</v>
      </c>
      <c r="B13" s="27">
        <f>VLOOKUP($A13,'Beef Enteric inventory'!$AE$4:$AF$51,2,FALSE)</f>
        <v>2.7463849056603773</v>
      </c>
      <c r="C13" s="28">
        <f>VLOOKUP($A13,'Beef Manure Inventory'!$A$4:$AI$51,30,FALSE)+VLOOKUP($A13,'Beef Manure Inventory'!$A$4:$AI$51,31,FALSE)+VLOOKUP($A13,'Beef Manure Inventory'!$A$4:$AL$51,36,FALSE)+VLOOKUP($A13,'Beef Manure Inventory'!$A$4:$AL$51,37,FALSE)</f>
        <v>0.18223406448503224</v>
      </c>
      <c r="D13" s="29">
        <f t="shared" si="0"/>
        <v>2.9286189701454095</v>
      </c>
      <c r="E13" s="30">
        <f>SUM('Dairy Enteric Inventory'!M15:P15)</f>
        <v>0.5840551912395574</v>
      </c>
      <c r="F13" s="28">
        <f>SUM('Dairy Manure Inventory'!AM13:AP13)</f>
        <v>0.53191657498500511</v>
      </c>
      <c r="G13" s="29">
        <f t="shared" si="1"/>
        <v>1.1159717662245625</v>
      </c>
    </row>
    <row r="14" spans="1:7" ht="15.75" customHeight="1">
      <c r="A14" s="31" t="s">
        <v>47</v>
      </c>
      <c r="B14" s="27">
        <f>VLOOKUP($A14,'Beef Enteric inventory'!$AE$4:$AF$51,2,FALSE)</f>
        <v>1.6361947169811324</v>
      </c>
      <c r="C14" s="28">
        <f>VLOOKUP($A14,'Beef Manure Inventory'!$A$4:$AI$51,30,FALSE)+VLOOKUP($A14,'Beef Manure Inventory'!$A$4:$AI$51,31,FALSE)+VLOOKUP($A14,'Beef Manure Inventory'!$A$4:$AL$51,36,FALSE)+VLOOKUP($A14,'Beef Manure Inventory'!$A$4:$AL$51,37,FALSE)</f>
        <v>0.10943270332993005</v>
      </c>
      <c r="D14" s="29">
        <f t="shared" si="0"/>
        <v>1.7456274203110624</v>
      </c>
      <c r="E14" s="30">
        <f>SUM('Dairy Enteric Inventory'!M16:P16)</f>
        <v>0.41832232881963233</v>
      </c>
      <c r="F14" s="28">
        <f>SUM('Dairy Manure Inventory'!AM14:AP14)</f>
        <v>0.35200982669557751</v>
      </c>
      <c r="G14" s="29">
        <f t="shared" si="1"/>
        <v>0.77033215551520984</v>
      </c>
    </row>
    <row r="15" spans="1:7" ht="15.75" customHeight="1">
      <c r="A15" s="31" t="s">
        <v>48</v>
      </c>
      <c r="B15" s="27">
        <f>VLOOKUP($A15,'Beef Enteric inventory'!$AE$4:$AF$51,2,FALSE)</f>
        <v>5.2645127044025157</v>
      </c>
      <c r="C15" s="28">
        <f>VLOOKUP($A15,'Beef Manure Inventory'!$A$4:$AI$51,30,FALSE)+VLOOKUP($A15,'Beef Manure Inventory'!$A$4:$AI$51,31,FALSE)+VLOOKUP($A15,'Beef Manure Inventory'!$A$4:$AL$51,36,FALSE)+VLOOKUP($A15,'Beef Manure Inventory'!$A$4:$AL$51,37,FALSE)</f>
        <v>0.75118485634600263</v>
      </c>
      <c r="D15" s="29">
        <f t="shared" si="0"/>
        <v>6.0156975607485181</v>
      </c>
      <c r="E15" s="30">
        <f>SUM('Dairy Enteric Inventory'!M17:P17)</f>
        <v>1.1561748724822019</v>
      </c>
      <c r="F15" s="28">
        <f>SUM('Dairy Manure Inventory'!AM15:AP15)</f>
        <v>1.1519480627257128</v>
      </c>
      <c r="G15" s="29">
        <f t="shared" si="1"/>
        <v>2.3081229352079147</v>
      </c>
    </row>
    <row r="16" spans="1:7" ht="15.75" customHeight="1">
      <c r="A16" s="31" t="s">
        <v>49</v>
      </c>
      <c r="B16" s="27">
        <f>VLOOKUP($A16,'Beef Enteric inventory'!$AE$4:$AF$51,2,FALSE)</f>
        <v>2.3577192452830191</v>
      </c>
      <c r="C16" s="28">
        <f>VLOOKUP($A16,'Beef Manure Inventory'!$A$4:$AI$51,30,FALSE)+VLOOKUP($A16,'Beef Manure Inventory'!$A$4:$AI$51,31,FALSE)+VLOOKUP($A16,'Beef Manure Inventory'!$A$4:$AL$51,36,FALSE)+VLOOKUP($A16,'Beef Manure Inventory'!$A$4:$AL$51,37,FALSE)</f>
        <v>0.22445170532018832</v>
      </c>
      <c r="D16" s="29">
        <f t="shared" si="0"/>
        <v>2.5821709506032073</v>
      </c>
      <c r="E16" s="30">
        <f>SUM('Dairy Enteric Inventory'!M18:P18)</f>
        <v>3.4298382252912352</v>
      </c>
      <c r="F16" s="28">
        <f>SUM('Dairy Manure Inventory'!AM16:AP16)</f>
        <v>3.8423489075188919</v>
      </c>
      <c r="G16" s="29">
        <f t="shared" si="1"/>
        <v>7.2721871328101271</v>
      </c>
    </row>
    <row r="17" spans="1:7" ht="15.75" customHeight="1">
      <c r="A17" s="31" t="s">
        <v>50</v>
      </c>
      <c r="B17" s="27">
        <f>VLOOKUP($A17,'Beef Enteric inventory'!$AE$4:$AF$51,2,FALSE)</f>
        <v>1.5786349685534593</v>
      </c>
      <c r="C17" s="28">
        <f>VLOOKUP($A17,'Beef Manure Inventory'!$A$4:$AI$51,30,FALSE)+VLOOKUP($A17,'Beef Manure Inventory'!$A$4:$AI$51,31,FALSE)+VLOOKUP($A17,'Beef Manure Inventory'!$A$4:$AL$51,36,FALSE)+VLOOKUP($A17,'Beef Manure Inventory'!$A$4:$AL$51,37,FALSE)</f>
        <v>0.18096929840813231</v>
      </c>
      <c r="D17" s="29">
        <f t="shared" si="0"/>
        <v>1.7596042669615917</v>
      </c>
      <c r="E17" s="30">
        <f>SUM('Dairy Enteric Inventory'!M19:P19)</f>
        <v>0.44364357233180196</v>
      </c>
      <c r="F17" s="28">
        <f>SUM('Dairy Manure Inventory'!AM17:AP17)</f>
        <v>0.37239898209696037</v>
      </c>
      <c r="G17" s="29">
        <f t="shared" si="1"/>
        <v>0.81604255442876239</v>
      </c>
    </row>
    <row r="18" spans="1:7" ht="15.75" customHeight="1">
      <c r="A18" s="31" t="s">
        <v>51</v>
      </c>
      <c r="B18" s="27">
        <f>VLOOKUP($A18,'Beef Enteric inventory'!$AE$4:$AF$51,2,FALSE)</f>
        <v>0.79614289308176112</v>
      </c>
      <c r="C18" s="28">
        <f>VLOOKUP($A18,'Beef Manure Inventory'!$A$4:$AI$51,30,FALSE)+VLOOKUP($A18,'Beef Manure Inventory'!$A$4:$AI$51,31,FALSE)+VLOOKUP($A18,'Beef Manure Inventory'!$A$4:$AL$51,36,FALSE)+VLOOKUP($A18,'Beef Manure Inventory'!$A$4:$AL$51,37,FALSE)</f>
        <v>8.5729622746760464E-2</v>
      </c>
      <c r="D18" s="29">
        <f t="shared" si="0"/>
        <v>0.88187251582852155</v>
      </c>
      <c r="E18" s="30">
        <f>SUM('Dairy Enteric Inventory'!M20:P20)</f>
        <v>0.91976625245949606</v>
      </c>
      <c r="F18" s="28">
        <f>SUM('Dairy Manure Inventory'!AM18:AP18)</f>
        <v>0.91831311605648236</v>
      </c>
      <c r="G18" s="29">
        <f t="shared" si="1"/>
        <v>1.8380793685159784</v>
      </c>
    </row>
    <row r="19" spans="1:7" ht="15.75" customHeight="1">
      <c r="A19" s="31" t="s">
        <v>52</v>
      </c>
      <c r="B19" s="27">
        <f>VLOOKUP($A19,'Beef Enteric inventory'!$AE$4:$AF$51,2,FALSE)</f>
        <v>9.3646636477987446</v>
      </c>
      <c r="C19" s="28">
        <f>VLOOKUP($A19,'Beef Manure Inventory'!$A$4:$AI$51,30,FALSE)+VLOOKUP($A19,'Beef Manure Inventory'!$A$4:$AI$51,31,FALSE)+VLOOKUP($A19,'Beef Manure Inventory'!$A$4:$AL$51,36,FALSE)+VLOOKUP($A19,'Beef Manure Inventory'!$A$4:$AL$51,37,FALSE)</f>
        <v>1.4108412359202229</v>
      </c>
      <c r="D19" s="29">
        <f t="shared" si="0"/>
        <v>10.775504883718968</v>
      </c>
      <c r="E19" s="30">
        <f>SUM('Dairy Enteric Inventory'!M21:P21)</f>
        <v>0.98671915506667485</v>
      </c>
      <c r="F19" s="28">
        <f>SUM('Dairy Manure Inventory'!AM19:AP19)</f>
        <v>1.1476068696939365</v>
      </c>
      <c r="G19" s="29">
        <f t="shared" si="1"/>
        <v>2.1343260247606115</v>
      </c>
    </row>
    <row r="20" spans="1:7" ht="15.75" customHeight="1">
      <c r="A20" s="31" t="s">
        <v>53</v>
      </c>
      <c r="B20" s="27">
        <f>VLOOKUP($A20,'Beef Enteric inventory'!$AE$4:$AF$51,2,FALSE)</f>
        <v>3.2844442767295594</v>
      </c>
      <c r="C20" s="28">
        <f>VLOOKUP($A20,'Beef Manure Inventory'!$A$4:$AI$51,30,FALSE)+VLOOKUP($A20,'Beef Manure Inventory'!$A$4:$AI$51,31,FALSE)+VLOOKUP($A20,'Beef Manure Inventory'!$A$4:$AL$51,36,FALSE)+VLOOKUP($A20,'Beef Manure Inventory'!$A$4:$AL$51,37,FALSE)</f>
        <v>0.22171436882577575</v>
      </c>
      <c r="D20" s="29">
        <f t="shared" si="0"/>
        <v>3.5061586455553351</v>
      </c>
      <c r="E20" s="30">
        <f>SUM('Dairy Enteric Inventory'!M22:P22)</f>
        <v>0.28601352943003955</v>
      </c>
      <c r="F20" s="28">
        <f>SUM('Dairy Manure Inventory'!AM20:AP20)</f>
        <v>0.15121626811712532</v>
      </c>
      <c r="G20" s="29">
        <f t="shared" si="1"/>
        <v>0.43722979754716484</v>
      </c>
    </row>
    <row r="21" spans="1:7" ht="15.75" customHeight="1">
      <c r="A21" s="31" t="s">
        <v>54</v>
      </c>
      <c r="B21" s="27">
        <f>VLOOKUP($A21,'Beef Enteric inventory'!$AE$4:$AF$51,2,FALSE)</f>
        <v>1.4233021383647797</v>
      </c>
      <c r="C21" s="28">
        <f>VLOOKUP($A21,'Beef Manure Inventory'!$A$4:$AI$51,30,FALSE)+VLOOKUP($A21,'Beef Manure Inventory'!$A$4:$AI$51,31,FALSE)+VLOOKUP($A21,'Beef Manure Inventory'!$A$4:$AL$51,36,FALSE)+VLOOKUP($A21,'Beef Manure Inventory'!$A$4:$AL$51,37,FALSE)</f>
        <v>9.4837410388784446E-2</v>
      </c>
      <c r="D21" s="29">
        <f t="shared" si="0"/>
        <v>1.518139548753564</v>
      </c>
      <c r="E21" s="30">
        <f>SUM('Dairy Enteric Inventory'!M23:P23)</f>
        <v>5.0247949965582434E-2</v>
      </c>
      <c r="F21" s="28">
        <f>SUM('Dairy Manure Inventory'!AM21:AP21)</f>
        <v>2.8370737085682499E-2</v>
      </c>
      <c r="G21" s="29">
        <f t="shared" si="1"/>
        <v>7.8618687051264929E-2</v>
      </c>
    </row>
    <row r="22" spans="1:7" ht="15.75" customHeight="1">
      <c r="A22" s="31" t="s">
        <v>55</v>
      </c>
      <c r="B22" s="27">
        <f>VLOOKUP($A22,'Beef Enteric inventory'!$AE$4:$AF$51,2,FALSE)</f>
        <v>1.9033962264150949E-2</v>
      </c>
      <c r="C22" s="28">
        <f>VLOOKUP($A22,'Beef Manure Inventory'!$A$4:$AI$51,30,FALSE)+VLOOKUP($A22,'Beef Manure Inventory'!$A$4:$AI$51,31,FALSE)+VLOOKUP($A22,'Beef Manure Inventory'!$A$4:$AL$51,36,FALSE)+VLOOKUP($A22,'Beef Manure Inventory'!$A$4:$AL$51,37,FALSE)</f>
        <v>1.3431837112555431E-3</v>
      </c>
      <c r="D22" s="29">
        <f t="shared" si="0"/>
        <v>2.0377145975406491E-2</v>
      </c>
      <c r="E22" s="30">
        <f>SUM('Dairy Enteric Inventory'!M24:P24)</f>
        <v>5.7263363518350319E-2</v>
      </c>
      <c r="F22" s="28">
        <f>SUM('Dairy Manure Inventory'!AM22:AP22)</f>
        <v>3.1323470044210253E-2</v>
      </c>
      <c r="G22" s="29">
        <f t="shared" si="1"/>
        <v>8.8586833562560571E-2</v>
      </c>
    </row>
    <row r="23" spans="1:7" ht="15.75" customHeight="1">
      <c r="A23" s="31" t="s">
        <v>56</v>
      </c>
      <c r="B23" s="27">
        <f>VLOOKUP($A23,'Beef Enteric inventory'!$AE$4:$AF$51,2,FALSE)</f>
        <v>0.16770163522012582</v>
      </c>
      <c r="C23" s="28">
        <f>VLOOKUP($A23,'Beef Manure Inventory'!$A$4:$AI$51,30,FALSE)+VLOOKUP($A23,'Beef Manure Inventory'!$A$4:$AI$51,31,FALSE)+VLOOKUP($A23,'Beef Manure Inventory'!$A$4:$AL$51,36,FALSE)+VLOOKUP($A23,'Beef Manure Inventory'!$A$4:$AL$51,37,FALSE)</f>
        <v>1.3373718399334402E-2</v>
      </c>
      <c r="D23" s="29">
        <f t="shared" si="0"/>
        <v>0.18107535361946023</v>
      </c>
      <c r="E23" s="30">
        <f>SUM('Dairy Enteric Inventory'!M25:P25)</f>
        <v>0.23496689879366131</v>
      </c>
      <c r="F23" s="28">
        <f>SUM('Dairy Manure Inventory'!AM23:AP23)</f>
        <v>0.17013245067018293</v>
      </c>
      <c r="G23" s="29">
        <f t="shared" si="1"/>
        <v>0.40509934946384424</v>
      </c>
    </row>
    <row r="24" spans="1:7" ht="15.75" customHeight="1">
      <c r="A24" s="31" t="s">
        <v>57</v>
      </c>
      <c r="B24" s="27">
        <f>VLOOKUP($A24,'Beef Enteric inventory'!$AE$4:$AF$51,2,FALSE)</f>
        <v>4.2927798742138375E-2</v>
      </c>
      <c r="C24" s="28">
        <f>VLOOKUP($A24,'Beef Manure Inventory'!$A$4:$AI$51,30,FALSE)+VLOOKUP($A24,'Beef Manure Inventory'!$A$4:$AI$51,31,FALSE)+VLOOKUP($A24,'Beef Manure Inventory'!$A$4:$AL$51,36,FALSE)+VLOOKUP($A24,'Beef Manure Inventory'!$A$4:$AL$51,37,FALSE)</f>
        <v>3.246362325088E-3</v>
      </c>
      <c r="D24" s="29">
        <f t="shared" si="0"/>
        <v>4.6174161067226376E-2</v>
      </c>
      <c r="E24" s="30">
        <f>SUM('Dairy Enteric Inventory'!M26:P26)</f>
        <v>0.15089640007254054</v>
      </c>
      <c r="F24" s="28">
        <f>SUM('Dairy Manure Inventory'!AM24:AP24)</f>
        <v>0.10976127731851516</v>
      </c>
      <c r="G24" s="29">
        <f t="shared" si="1"/>
        <v>0.26065767739105572</v>
      </c>
    </row>
    <row r="25" spans="1:7" ht="15.75" customHeight="1">
      <c r="A25" s="32" t="s">
        <v>58</v>
      </c>
      <c r="B25" s="27">
        <f>VLOOKUP($A25,'Beef Enteric inventory'!$AE$4:$AF$51,2,FALSE)</f>
        <v>0.59004628930817615</v>
      </c>
      <c r="C25" s="28">
        <f>VLOOKUP($A25,'Beef Manure Inventory'!$A$4:$AI$51,30,FALSE)+VLOOKUP($A25,'Beef Manure Inventory'!$A$4:$AI$51,31,FALSE)+VLOOKUP($A25,'Beef Manure Inventory'!$A$4:$AL$51,36,FALSE)+VLOOKUP($A25,'Beef Manure Inventory'!$A$4:$AL$51,37,FALSE)</f>
        <v>8.8208008442037938E-2</v>
      </c>
      <c r="D25" s="29">
        <f t="shared" si="0"/>
        <v>0.67825429775021406</v>
      </c>
      <c r="E25" s="30">
        <f>SUM('Dairy Enteric Inventory'!M27:P27)</f>
        <v>2.2222641391100098</v>
      </c>
      <c r="F25" s="28">
        <f>SUM('Dairy Manure Inventory'!AM25:AP25)</f>
        <v>2.272940182628377</v>
      </c>
      <c r="G25" s="29">
        <f t="shared" si="1"/>
        <v>4.4952043217383864</v>
      </c>
    </row>
    <row r="26" spans="1:7" ht="15.75" customHeight="1">
      <c r="A26" s="31" t="s">
        <v>59</v>
      </c>
      <c r="B26" s="27">
        <f>VLOOKUP($A26,'Beef Enteric inventory'!$AE$4:$AF$51,2,FALSE)</f>
        <v>6.7093801257861623</v>
      </c>
      <c r="C26" s="28">
        <f>VLOOKUP($A26,'Beef Manure Inventory'!$A$4:$AI$51,30,FALSE)+VLOOKUP($A26,'Beef Manure Inventory'!$A$4:$AI$51,31,FALSE)+VLOOKUP($A26,'Beef Manure Inventory'!$A$4:$AL$51,36,FALSE)+VLOOKUP($A26,'Beef Manure Inventory'!$A$4:$AL$51,37,FALSE)</f>
        <v>0.49341093403427971</v>
      </c>
      <c r="D26" s="29">
        <f t="shared" si="0"/>
        <v>7.2027910598204423</v>
      </c>
      <c r="E26" s="30">
        <f>SUM('Dairy Enteric Inventory'!M28:P28)</f>
        <v>0.4046353778861787</v>
      </c>
      <c r="F26" s="28">
        <f>SUM('Dairy Manure Inventory'!AM26:AP26)</f>
        <v>0.24869781373963967</v>
      </c>
      <c r="G26" s="29">
        <f t="shared" si="1"/>
        <v>0.65333319162581838</v>
      </c>
    </row>
    <row r="27" spans="1:7" ht="15.75" customHeight="1">
      <c r="A27" s="31" t="s">
        <v>60</v>
      </c>
      <c r="B27" s="27">
        <f>VLOOKUP($A27,'Beef Enteric inventory'!$AE$4:$AF$51,2,FALSE)</f>
        <v>1.556690314465409</v>
      </c>
      <c r="C27" s="28">
        <f>VLOOKUP($A27,'Beef Manure Inventory'!$A$4:$AI$51,30,FALSE)+VLOOKUP($A27,'Beef Manure Inventory'!$A$4:$AI$51,31,FALSE)+VLOOKUP($A27,'Beef Manure Inventory'!$A$4:$AL$51,36,FALSE)+VLOOKUP($A27,'Beef Manure Inventory'!$A$4:$AL$51,37,FALSE)</f>
        <v>0.10497526093511086</v>
      </c>
      <c r="D27" s="29">
        <f t="shared" si="0"/>
        <v>1.6616655754005198</v>
      </c>
      <c r="E27" s="30">
        <f>SUM('Dairy Enteric Inventory'!M29:P29)</f>
        <v>4.3110890133304283E-2</v>
      </c>
      <c r="F27" s="28">
        <f>SUM('Dairy Manure Inventory'!AM27:AP27)</f>
        <v>2.4150015963559389E-2</v>
      </c>
      <c r="G27" s="29">
        <f t="shared" si="1"/>
        <v>6.7260906096863665E-2</v>
      </c>
    </row>
    <row r="28" spans="1:7" ht="15.75" customHeight="1">
      <c r="A28" s="31" t="s">
        <v>61</v>
      </c>
      <c r="B28" s="27">
        <f>VLOOKUP($A28,'Beef Enteric inventory'!$AE$4:$AF$51,2,FALSE)</f>
        <v>5.2999446540880513</v>
      </c>
      <c r="C28" s="28">
        <f>VLOOKUP($A28,'Beef Manure Inventory'!$A$4:$AI$51,30,FALSE)+VLOOKUP($A28,'Beef Manure Inventory'!$A$4:$AI$51,31,FALSE)+VLOOKUP($A28,'Beef Manure Inventory'!$A$4:$AL$51,36,FALSE)+VLOOKUP($A28,'Beef Manure Inventory'!$A$4:$AL$51,37,FALSE)</f>
        <v>0.30226343014047818</v>
      </c>
      <c r="D28" s="29">
        <f t="shared" si="0"/>
        <v>5.6022080842285291</v>
      </c>
      <c r="E28" s="30">
        <f>SUM('Dairy Enteric Inventory'!M30:P30)</f>
        <v>6.067764771682152E-2</v>
      </c>
      <c r="F28" s="28">
        <f>SUM('Dairy Manure Inventory'!AM28:AP28)</f>
        <v>4.8991548355562679E-2</v>
      </c>
      <c r="G28" s="29">
        <f t="shared" si="1"/>
        <v>0.10966919607238421</v>
      </c>
    </row>
    <row r="29" spans="1:7" ht="15.75" customHeight="1">
      <c r="A29" s="31" t="s">
        <v>62</v>
      </c>
      <c r="B29" s="27">
        <f>VLOOKUP($A29,'Beef Enteric inventory'!$AE$4:$AF$51,2,FALSE)</f>
        <v>1.1709876729559747</v>
      </c>
      <c r="C29" s="28">
        <f>VLOOKUP($A29,'Beef Manure Inventory'!$A$4:$AI$51,30,FALSE)+VLOOKUP($A29,'Beef Manure Inventory'!$A$4:$AI$51,31,FALSE)+VLOOKUP($A29,'Beef Manure Inventory'!$A$4:$AL$51,36,FALSE)+VLOOKUP($A29,'Beef Manure Inventory'!$A$4:$AL$51,37,FALSE)</f>
        <v>7.8804765226366633E-2</v>
      </c>
      <c r="D29" s="29">
        <f t="shared" si="0"/>
        <v>1.2497924381823413</v>
      </c>
      <c r="E29" s="30">
        <f>SUM('Dairy Enteric Inventory'!M31:P31)</f>
        <v>0.21336998852313013</v>
      </c>
      <c r="F29" s="28">
        <f>SUM('Dairy Manure Inventory'!AM29:AP29)</f>
        <v>0.1584870555889728</v>
      </c>
      <c r="G29" s="29">
        <f t="shared" si="1"/>
        <v>0.37185704411210296</v>
      </c>
    </row>
    <row r="30" spans="1:7" ht="15.75" customHeight="1">
      <c r="A30" s="31" t="s">
        <v>63</v>
      </c>
      <c r="B30" s="27">
        <f>VLOOKUP($A30,'Beef Enteric inventory'!$AE$4:$AF$51,2,FALSE)</f>
        <v>3.3797776100628925</v>
      </c>
      <c r="C30" s="28">
        <f>VLOOKUP($A30,'Beef Manure Inventory'!$A$4:$AI$51,30,FALSE)+VLOOKUP($A30,'Beef Manure Inventory'!$A$4:$AI$51,31,FALSE)+VLOOKUP($A30,'Beef Manure Inventory'!$A$4:$AL$51,36,FALSE)+VLOOKUP($A30,'Beef Manure Inventory'!$A$4:$AL$51,37,FALSE)</f>
        <v>0.24770107423039681</v>
      </c>
      <c r="D30" s="29">
        <f t="shared" si="0"/>
        <v>3.6274786842932891</v>
      </c>
      <c r="E30" s="30">
        <f>SUM('Dairy Enteric Inventory'!M32:P32)</f>
        <v>8.0824249808816001E-2</v>
      </c>
      <c r="F30" s="28">
        <f>SUM('Dairy Manure Inventory'!AM30:AP30)</f>
        <v>7.4858600542043671E-2</v>
      </c>
      <c r="G30" s="29">
        <f t="shared" si="1"/>
        <v>0.15568285035085966</v>
      </c>
    </row>
    <row r="31" spans="1:7" ht="15.75" customHeight="1">
      <c r="A31" s="31" t="s">
        <v>64</v>
      </c>
      <c r="B31" s="27">
        <f>VLOOKUP($A31,'Beef Enteric inventory'!$AE$4:$AF$51,2,FALSE)</f>
        <v>11.036983647798742</v>
      </c>
      <c r="C31" s="28">
        <f>VLOOKUP($A31,'Beef Manure Inventory'!$A$4:$AI$51,30,FALSE)+VLOOKUP($A31,'Beef Manure Inventory'!$A$4:$AI$51,31,FALSE)+VLOOKUP($A31,'Beef Manure Inventory'!$A$4:$AL$51,36,FALSE)+VLOOKUP($A31,'Beef Manure Inventory'!$A$4:$AL$51,37,FALSE)</f>
        <v>1.5540985360157986</v>
      </c>
      <c r="D31" s="29">
        <f t="shared" si="0"/>
        <v>12.591082183814541</v>
      </c>
      <c r="E31" s="30">
        <f>SUM('Dairy Enteric Inventory'!M33:P33)</f>
        <v>0.31163785104914266</v>
      </c>
      <c r="F31" s="28">
        <f>SUM('Dairy Manure Inventory'!AM31:AP31)</f>
        <v>0.366585721037887</v>
      </c>
      <c r="G31" s="29">
        <f t="shared" si="1"/>
        <v>0.67822357208702966</v>
      </c>
    </row>
    <row r="32" spans="1:7" ht="15.75" customHeight="1">
      <c r="A32" s="31" t="s">
        <v>65</v>
      </c>
      <c r="B32" s="27">
        <f>VLOOKUP($A32,'Beef Enteric inventory'!$AE$4:$AF$51,2,FALSE)</f>
        <v>1.3670440251572328E-2</v>
      </c>
      <c r="C32" s="28">
        <f>VLOOKUP($A32,'Beef Manure Inventory'!$A$4:$AI$51,30,FALSE)+VLOOKUP($A32,'Beef Manure Inventory'!$A$4:$AI$51,31,FALSE)+VLOOKUP($A32,'Beef Manure Inventory'!$A$4:$AL$51,36,FALSE)+VLOOKUP($A32,'Beef Manure Inventory'!$A$4:$AL$51,37,FALSE)</f>
        <v>9.7517721904959989E-4</v>
      </c>
      <c r="D32" s="29">
        <f t="shared" si="0"/>
        <v>1.4645617470621928E-2</v>
      </c>
      <c r="E32" s="30">
        <f>SUM('Dairy Enteric Inventory'!M34:P34)</f>
        <v>6.2168801167458182E-2</v>
      </c>
      <c r="F32" s="28">
        <f>SUM('Dairy Manure Inventory'!AM32:AP32)</f>
        <v>3.7811480116217412E-2</v>
      </c>
      <c r="G32" s="29">
        <f t="shared" si="1"/>
        <v>9.9980281283675587E-2</v>
      </c>
    </row>
    <row r="33" spans="1:7" ht="15.75" customHeight="1">
      <c r="A33" s="31" t="s">
        <v>66</v>
      </c>
      <c r="B33" s="27">
        <f>VLOOKUP($A33,'Beef Enteric inventory'!$AE$4:$AF$51,2,FALSE)</f>
        <v>3.1657861635220122E-2</v>
      </c>
      <c r="C33" s="28">
        <f>VLOOKUP($A33,'Beef Manure Inventory'!$A$4:$AI$51,30,FALSE)+VLOOKUP($A33,'Beef Manure Inventory'!$A$4:$AI$51,31,FALSE)+VLOOKUP($A33,'Beef Manure Inventory'!$A$4:$AL$51,36,FALSE)+VLOOKUP($A33,'Beef Manure Inventory'!$A$4:$AL$51,37,FALSE)</f>
        <v>2.1559759362914286E-3</v>
      </c>
      <c r="D33" s="29">
        <f t="shared" si="0"/>
        <v>3.3813837571511553E-2</v>
      </c>
      <c r="E33" s="30">
        <f>SUM('Dairy Enteric Inventory'!M35:P35)</f>
        <v>2.7296762015227946E-2</v>
      </c>
      <c r="F33" s="28">
        <f>SUM('Dairy Manure Inventory'!AM33:AP33)</f>
        <v>1.6102475682368049E-2</v>
      </c>
      <c r="G33" s="29">
        <f t="shared" si="1"/>
        <v>4.3399237697595995E-2</v>
      </c>
    </row>
    <row r="34" spans="1:7" ht="15.75" customHeight="1">
      <c r="A34" s="31" t="s">
        <v>67</v>
      </c>
      <c r="B34" s="27">
        <f>VLOOKUP($A34,'Beef Enteric inventory'!$AE$4:$AF$51,2,FALSE)</f>
        <v>1.7125267924528305</v>
      </c>
      <c r="C34" s="28">
        <f>VLOOKUP($A34,'Beef Manure Inventory'!$A$4:$AI$51,30,FALSE)+VLOOKUP($A34,'Beef Manure Inventory'!$A$4:$AI$51,31,FALSE)+VLOOKUP($A34,'Beef Manure Inventory'!$A$4:$AL$51,36,FALSE)+VLOOKUP($A34,'Beef Manure Inventory'!$A$4:$AL$51,37,FALSE)</f>
        <v>9.6567168603755194E-2</v>
      </c>
      <c r="D34" s="29">
        <f t="shared" si="0"/>
        <v>1.8090939610565857</v>
      </c>
      <c r="E34" s="30">
        <f>SUM('Dairy Enteric Inventory'!M36:P36)</f>
        <v>1.7246149332015248</v>
      </c>
      <c r="F34" s="28">
        <f>SUM('Dairy Manure Inventory'!AM34:AP34)</f>
        <v>1.4897276919137599</v>
      </c>
      <c r="G34" s="29">
        <f t="shared" si="1"/>
        <v>3.2143426251152847</v>
      </c>
    </row>
    <row r="35" spans="1:7" ht="15.75" customHeight="1">
      <c r="A35" s="31" t="s">
        <v>68</v>
      </c>
      <c r="B35" s="27">
        <f>VLOOKUP($A35,'Beef Enteric inventory'!$AE$4:$AF$51,2,FALSE)</f>
        <v>0.87184050314465411</v>
      </c>
      <c r="C35" s="28">
        <f>VLOOKUP($A35,'Beef Manure Inventory'!$A$4:$AI$51,30,FALSE)+VLOOKUP($A35,'Beef Manure Inventory'!$A$4:$AI$51,31,FALSE)+VLOOKUP($A35,'Beef Manure Inventory'!$A$4:$AL$51,36,FALSE)+VLOOKUP($A35,'Beef Manure Inventory'!$A$4:$AL$51,37,FALSE)</f>
        <v>4.7750651984675194E-2</v>
      </c>
      <c r="D35" s="29">
        <f t="shared" si="0"/>
        <v>0.91959115512932932</v>
      </c>
      <c r="E35" s="30">
        <f>SUM('Dairy Enteric Inventory'!M37:P37)</f>
        <v>0.15598232352722111</v>
      </c>
      <c r="F35" s="28">
        <f>SUM('Dairy Manure Inventory'!AM35:AP35)</f>
        <v>0.22255997663263566</v>
      </c>
      <c r="G35" s="29">
        <f t="shared" si="1"/>
        <v>0.37854230015985679</v>
      </c>
    </row>
    <row r="36" spans="1:7" ht="15.75" customHeight="1">
      <c r="A36" s="31" t="s">
        <v>69</v>
      </c>
      <c r="B36" s="27">
        <f>VLOOKUP($A36,'Beef Enteric inventory'!$AE$4:$AF$51,2,FALSE)</f>
        <v>1.2772835220125789</v>
      </c>
      <c r="C36" s="28">
        <f>VLOOKUP($A36,'Beef Manure Inventory'!$A$4:$AI$51,30,FALSE)+VLOOKUP($A36,'Beef Manure Inventory'!$A$4:$AI$51,31,FALSE)+VLOOKUP($A36,'Beef Manure Inventory'!$A$4:$AL$51,36,FALSE)+VLOOKUP($A36,'Beef Manure Inventory'!$A$4:$AL$51,37,FALSE)</f>
        <v>0.13658393697964433</v>
      </c>
      <c r="D36" s="29">
        <f t="shared" si="0"/>
        <v>1.4138674589922231</v>
      </c>
      <c r="E36" s="30">
        <f>SUM('Dairy Enteric Inventory'!M38:P38)</f>
        <v>1.336970834124696</v>
      </c>
      <c r="F36" s="28">
        <f>SUM('Dairy Manure Inventory'!AM36:AP36)</f>
        <v>1.1493740900998513</v>
      </c>
      <c r="G36" s="29">
        <f t="shared" si="1"/>
        <v>2.4863449242245474</v>
      </c>
    </row>
    <row r="37" spans="1:7" ht="15.75" customHeight="1">
      <c r="A37" s="31" t="s">
        <v>70</v>
      </c>
      <c r="B37" s="27">
        <f>VLOOKUP($A37,'Beef Enteric inventory'!$AE$4:$AF$51,2,FALSE)</f>
        <v>7.8907677987421385</v>
      </c>
      <c r="C37" s="28">
        <f>VLOOKUP($A37,'Beef Manure Inventory'!$A$4:$AI$51,30,FALSE)+VLOOKUP($A37,'Beef Manure Inventory'!$A$4:$AI$51,31,FALSE)+VLOOKUP($A37,'Beef Manure Inventory'!$A$4:$AL$51,36,FALSE)+VLOOKUP($A37,'Beef Manure Inventory'!$A$4:$AL$51,37,FALSE)</f>
        <v>0.63208588360009188</v>
      </c>
      <c r="D37" s="29">
        <f t="shared" si="0"/>
        <v>8.5228536823422303</v>
      </c>
      <c r="E37" s="30">
        <f>SUM('Dairy Enteric Inventory'!M39:P39)</f>
        <v>0.21801746563125626</v>
      </c>
      <c r="F37" s="28">
        <f>SUM('Dairy Manure Inventory'!AM37:AP37)</f>
        <v>0.15196976866100892</v>
      </c>
      <c r="G37" s="29">
        <f t="shared" si="1"/>
        <v>0.36998723429226521</v>
      </c>
    </row>
    <row r="38" spans="1:7" ht="15.75" customHeight="1">
      <c r="A38" s="31" t="s">
        <v>71</v>
      </c>
      <c r="B38" s="27">
        <f>VLOOKUP($A38,'Beef Enteric inventory'!$AE$4:$AF$51,2,FALSE)</f>
        <v>2.0547325786163522</v>
      </c>
      <c r="C38" s="28">
        <f>VLOOKUP($A38,'Beef Manure Inventory'!$A$4:$AI$51,30,FALSE)+VLOOKUP($A38,'Beef Manure Inventory'!$A$4:$AI$51,31,FALSE)+VLOOKUP($A38,'Beef Manure Inventory'!$A$4:$AL$51,36,FALSE)+VLOOKUP($A38,'Beef Manure Inventory'!$A$4:$AL$51,37,FALSE)</f>
        <v>0.1406297165518311</v>
      </c>
      <c r="D38" s="29">
        <f t="shared" si="0"/>
        <v>2.1953622951681835</v>
      </c>
      <c r="E38" s="30">
        <f>SUM('Dairy Enteric Inventory'!M40:P40)</f>
        <v>0.68785565383145508</v>
      </c>
      <c r="F38" s="28">
        <f>SUM('Dairy Manure Inventory'!AM38:AP38)</f>
        <v>0.63724886025086047</v>
      </c>
      <c r="G38" s="29">
        <f t="shared" si="1"/>
        <v>1.3251045140823154</v>
      </c>
    </row>
    <row r="39" spans="1:7" ht="15.75" customHeight="1">
      <c r="A39" s="31" t="s">
        <v>72</v>
      </c>
      <c r="B39" s="27">
        <f>VLOOKUP($A39,'Beef Enteric inventory'!$AE$4:$AF$51,2,FALSE)</f>
        <v>0.93877987421383646</v>
      </c>
      <c r="C39" s="28">
        <f>VLOOKUP($A39,'Beef Manure Inventory'!$A$4:$AI$51,30,FALSE)+VLOOKUP($A39,'Beef Manure Inventory'!$A$4:$AI$51,31,FALSE)+VLOOKUP($A39,'Beef Manure Inventory'!$A$4:$AL$51,36,FALSE)+VLOOKUP($A39,'Beef Manure Inventory'!$A$4:$AL$51,37,FALSE)</f>
        <v>9.2810871324980559E-2</v>
      </c>
      <c r="D39" s="29">
        <f t="shared" si="0"/>
        <v>1.0315907455388169</v>
      </c>
      <c r="E39" s="30">
        <f>SUM('Dairy Enteric Inventory'!M41:P41)</f>
        <v>2.5925791241427287</v>
      </c>
      <c r="F39" s="28">
        <f>SUM('Dairy Manure Inventory'!AM39:AP39)</f>
        <v>1.5996773935961552</v>
      </c>
      <c r="G39" s="29">
        <f t="shared" si="1"/>
        <v>4.1922565177388842</v>
      </c>
    </row>
    <row r="40" spans="1:7" ht="15.75" customHeight="1">
      <c r="A40" s="31" t="s">
        <v>73</v>
      </c>
      <c r="B40" s="27">
        <f>VLOOKUP($A40,'Beef Enteric inventory'!$AE$4:$AF$51,2,FALSE)</f>
        <v>3.3358490566037739E-3</v>
      </c>
      <c r="C40" s="28">
        <f>VLOOKUP($A40,'Beef Manure Inventory'!$A$4:$AI$51,30,FALSE)+VLOOKUP($A40,'Beef Manure Inventory'!$A$4:$AI$51,31,FALSE)+VLOOKUP($A40,'Beef Manure Inventory'!$A$4:$AL$51,36,FALSE)+VLOOKUP($A40,'Beef Manure Inventory'!$A$4:$AL$51,37,FALSE)</f>
        <v>1.8454280222651427E-4</v>
      </c>
      <c r="D40" s="29">
        <f t="shared" si="0"/>
        <v>3.520391858830288E-3</v>
      </c>
      <c r="E40" s="30">
        <f>SUM('Dairy Enteric Inventory'!M42:P42)</f>
        <v>2.0943113969694267E-3</v>
      </c>
      <c r="F40" s="28">
        <f>SUM('Dairy Manure Inventory'!AM40:AP40)</f>
        <v>1.382956738514E-3</v>
      </c>
      <c r="G40" s="29">
        <f t="shared" si="1"/>
        <v>3.4772681354834269E-3</v>
      </c>
    </row>
    <row r="41" spans="1:7" ht="15.75" customHeight="1">
      <c r="A41" s="31" t="s">
        <v>74</v>
      </c>
      <c r="B41" s="27">
        <f>VLOOKUP($A41,'Beef Enteric inventory'!$AE$4:$AF$51,2,FALSE)</f>
        <v>0.55515069182389931</v>
      </c>
      <c r="C41" s="28">
        <f>VLOOKUP($A41,'Beef Manure Inventory'!$A$4:$AI$51,30,FALSE)+VLOOKUP($A41,'Beef Manure Inventory'!$A$4:$AI$51,31,FALSE)+VLOOKUP($A41,'Beef Manure Inventory'!$A$4:$AL$51,36,FALSE)+VLOOKUP($A41,'Beef Manure Inventory'!$A$4:$AL$51,37,FALSE)</f>
        <v>3.732011975866148E-2</v>
      </c>
      <c r="D41" s="29">
        <f t="shared" si="0"/>
        <v>0.59247081158256076</v>
      </c>
      <c r="E41" s="30">
        <f>SUM('Dairy Enteric Inventory'!M43:P43)</f>
        <v>5.7070605595101839E-2</v>
      </c>
      <c r="F41" s="28">
        <f>SUM('Dairy Manure Inventory'!AM41:AP41)</f>
        <v>4.4108761844099863E-2</v>
      </c>
      <c r="G41" s="29">
        <f t="shared" si="1"/>
        <v>0.1011793674392017</v>
      </c>
    </row>
    <row r="42" spans="1:7" ht="15.75" customHeight="1">
      <c r="A42" s="31" t="s">
        <v>75</v>
      </c>
      <c r="B42" s="27">
        <f>VLOOKUP($A42,'Beef Enteric inventory'!$AE$4:$AF$51,2,FALSE)</f>
        <v>6.6373388679245293</v>
      </c>
      <c r="C42" s="28">
        <f>VLOOKUP($A42,'Beef Manure Inventory'!$A$4:$AI$51,30,FALSE)+VLOOKUP($A42,'Beef Manure Inventory'!$A$4:$AI$51,31,FALSE)+VLOOKUP($A42,'Beef Manure Inventory'!$A$4:$AL$51,36,FALSE)+VLOOKUP($A42,'Beef Manure Inventory'!$A$4:$AL$51,37,FALSE)</f>
        <v>0.58900301567728908</v>
      </c>
      <c r="D42" s="29">
        <f t="shared" si="0"/>
        <v>7.2263418836018181</v>
      </c>
      <c r="E42" s="30">
        <f>SUM('Dairy Enteric Inventory'!M44:P44)</f>
        <v>0.64489046365030622</v>
      </c>
      <c r="F42" s="28">
        <f>SUM('Dairy Manure Inventory'!AM42:AP42)</f>
        <v>0.76786141294027022</v>
      </c>
      <c r="G42" s="29">
        <f t="shared" si="1"/>
        <v>1.4127518765905764</v>
      </c>
    </row>
    <row r="43" spans="1:7" ht="15.75" customHeight="1">
      <c r="A43" s="31" t="s">
        <v>76</v>
      </c>
      <c r="B43" s="27">
        <f>VLOOKUP($A43,'Beef Enteric inventory'!$AE$4:$AF$51,2,FALSE)</f>
        <v>2.9101293081761015</v>
      </c>
      <c r="C43" s="28">
        <f>VLOOKUP($A43,'Beef Manure Inventory'!$A$4:$AI$51,30,FALSE)+VLOOKUP($A43,'Beef Manure Inventory'!$A$4:$AI$51,31,FALSE)+VLOOKUP($A43,'Beef Manure Inventory'!$A$4:$AL$51,36,FALSE)+VLOOKUP($A43,'Beef Manure Inventory'!$A$4:$AL$51,37,FALSE)</f>
        <v>0.19752346756484757</v>
      </c>
      <c r="D43" s="29">
        <f t="shared" si="0"/>
        <v>3.1076527757409491</v>
      </c>
      <c r="E43" s="30">
        <f>SUM('Dairy Enteric Inventory'!M45:P45)</f>
        <v>0.1788113252616767</v>
      </c>
      <c r="F43" s="28">
        <f>SUM('Dairy Manure Inventory'!AM43:AP43)</f>
        <v>9.9438428617939861E-2</v>
      </c>
      <c r="G43" s="29">
        <f t="shared" si="1"/>
        <v>0.27824975387961659</v>
      </c>
    </row>
    <row r="44" spans="1:7" ht="15.75" customHeight="1">
      <c r="A44" s="31" t="s">
        <v>77</v>
      </c>
      <c r="B44" s="27">
        <f>VLOOKUP($A44,'Beef Enteric inventory'!$AE$4:$AF$51,2,FALSE)</f>
        <v>19.83192352201258</v>
      </c>
      <c r="C44" s="28">
        <f>VLOOKUP($A44,'Beef Manure Inventory'!$A$4:$AI$51,30,FALSE)+VLOOKUP($A44,'Beef Manure Inventory'!$A$4:$AI$51,31,FALSE)+VLOOKUP($A44,'Beef Manure Inventory'!$A$4:$AL$51,36,FALSE)+VLOOKUP($A44,'Beef Manure Inventory'!$A$4:$AL$51,37,FALSE)</f>
        <v>2.254724098009345</v>
      </c>
      <c r="D44" s="29">
        <f t="shared" si="0"/>
        <v>22.086647620021925</v>
      </c>
      <c r="E44" s="30">
        <f>SUM('Dairy Enteric Inventory'!M46:P46)</f>
        <v>3.0789664857239716</v>
      </c>
      <c r="F44" s="28">
        <f>SUM('Dairy Manure Inventory'!AM44:AP44)</f>
        <v>2.7542912656800009</v>
      </c>
      <c r="G44" s="29">
        <f t="shared" si="1"/>
        <v>5.8332577514039725</v>
      </c>
    </row>
    <row r="45" spans="1:7" ht="15.75" customHeight="1">
      <c r="A45" s="31" t="s">
        <v>78</v>
      </c>
      <c r="B45" s="27">
        <f>VLOOKUP($A45,'Beef Enteric inventory'!$AE$4:$AF$51,2,FALSE)</f>
        <v>1.3282369811320758</v>
      </c>
      <c r="C45" s="28">
        <f>VLOOKUP($A45,'Beef Manure Inventory'!$A$4:$AI$51,30,FALSE)+VLOOKUP($A45,'Beef Manure Inventory'!$A$4:$AI$51,31,FALSE)+VLOOKUP($A45,'Beef Manure Inventory'!$A$4:$AL$51,36,FALSE)+VLOOKUP($A45,'Beef Manure Inventory'!$A$4:$AL$51,37,FALSE)</f>
        <v>7.8617250775150638E-2</v>
      </c>
      <c r="D45" s="29">
        <f t="shared" si="0"/>
        <v>1.4068542319072264</v>
      </c>
      <c r="E45" s="30">
        <f>SUM('Dairy Enteric Inventory'!M47:P47)</f>
        <v>0.51948045525374054</v>
      </c>
      <c r="F45" s="28">
        <f>SUM('Dairy Manure Inventory'!AM45:AP45)</f>
        <v>0.38517960583179389</v>
      </c>
      <c r="G45" s="29">
        <f t="shared" si="1"/>
        <v>0.90466006108553443</v>
      </c>
    </row>
    <row r="46" spans="1:7" ht="15.75" customHeight="1">
      <c r="A46" s="31" t="s">
        <v>79</v>
      </c>
      <c r="B46" s="27">
        <f>VLOOKUP($A46,'Beef Enteric inventory'!$AE$4:$AF$51,2,FALSE)</f>
        <v>2.0687954716981132</v>
      </c>
      <c r="C46" s="28">
        <f>VLOOKUP($A46,'Beef Manure Inventory'!$A$4:$AI$51,30,FALSE)+VLOOKUP($A46,'Beef Manure Inventory'!$A$4:$AI$51,31,FALSE)+VLOOKUP($A46,'Beef Manure Inventory'!$A$4:$AL$51,36,FALSE)+VLOOKUP($A46,'Beef Manure Inventory'!$A$4:$AL$51,37,FALSE)</f>
        <v>0.14197556502444844</v>
      </c>
      <c r="D46" s="29">
        <f t="shared" si="0"/>
        <v>2.2107710367225617</v>
      </c>
      <c r="E46" s="30">
        <f>SUM('Dairy Enteric Inventory'!M48:P48)</f>
        <v>0.38537360740350857</v>
      </c>
      <c r="F46" s="28">
        <f>SUM('Dairy Manure Inventory'!AM46:AP46)</f>
        <v>0.23773023204579702</v>
      </c>
      <c r="G46" s="29">
        <f t="shared" si="1"/>
        <v>0.62310383944930559</v>
      </c>
    </row>
    <row r="47" spans="1:7" ht="15.75" customHeight="1">
      <c r="A47" s="31" t="s">
        <v>80</v>
      </c>
      <c r="B47" s="27">
        <f>VLOOKUP($A47,'Beef Enteric inventory'!$AE$4:$AF$51,2,FALSE)</f>
        <v>5.0803018867924536E-2</v>
      </c>
      <c r="C47" s="28">
        <f>VLOOKUP($A47,'Beef Manure Inventory'!$A$4:$AI$51,30,FALSE)+VLOOKUP($A47,'Beef Manure Inventory'!$A$4:$AI$51,31,FALSE)+VLOOKUP($A47,'Beef Manure Inventory'!$A$4:$AL$51,36,FALSE)+VLOOKUP($A47,'Beef Manure Inventory'!$A$4:$AL$51,37,FALSE)</f>
        <v>3.8964065499945142E-3</v>
      </c>
      <c r="D47" s="29">
        <f t="shared" si="0"/>
        <v>5.4699425417919049E-2</v>
      </c>
      <c r="E47" s="30">
        <f>SUM('Dairy Enteric Inventory'!M49:P49)</f>
        <v>0.65527898564800391</v>
      </c>
      <c r="F47" s="28">
        <f>SUM('Dairy Manure Inventory'!AM47:AP47)</f>
        <v>0.52932902520417957</v>
      </c>
      <c r="G47" s="29">
        <f t="shared" si="1"/>
        <v>1.1846080108521835</v>
      </c>
    </row>
    <row r="48" spans="1:7" ht="15.75" customHeight="1">
      <c r="A48" s="31" t="s">
        <v>81</v>
      </c>
      <c r="B48" s="27">
        <f>VLOOKUP($A48,'Beef Enteric inventory'!$AE$4:$AF$51,2,FALSE)</f>
        <v>1.2688588679245283</v>
      </c>
      <c r="C48" s="28">
        <f>VLOOKUP($A48,'Beef Manure Inventory'!$A$4:$AI$51,30,FALSE)+VLOOKUP($A48,'Beef Manure Inventory'!$A$4:$AI$51,31,FALSE)+VLOOKUP($A48,'Beef Manure Inventory'!$A$4:$AL$51,36,FALSE)+VLOOKUP($A48,'Beef Manure Inventory'!$A$4:$AL$51,37,FALSE)</f>
        <v>0.14343979163197348</v>
      </c>
      <c r="D48" s="29">
        <f t="shared" si="0"/>
        <v>1.4122986595565017</v>
      </c>
      <c r="E48" s="30">
        <f>SUM('Dairy Enteric Inventory'!M50:P50)</f>
        <v>1.484727910012908</v>
      </c>
      <c r="F48" s="28">
        <f>SUM('Dairy Manure Inventory'!AM48:AP48)</f>
        <v>1.5811757009830774</v>
      </c>
      <c r="G48" s="29">
        <f t="shared" si="1"/>
        <v>3.0659036109959854</v>
      </c>
    </row>
    <row r="49" spans="1:7" ht="15.75" customHeight="1">
      <c r="A49" s="31" t="s">
        <v>82</v>
      </c>
      <c r="B49" s="27">
        <f>VLOOKUP($A49,'Beef Enteric inventory'!$AE$4:$AF$51,2,FALSE)</f>
        <v>1.4791808805031448</v>
      </c>
      <c r="C49" s="28">
        <f>VLOOKUP($A49,'Beef Manure Inventory'!$A$4:$AI$51,30,FALSE)+VLOOKUP($A49,'Beef Manure Inventory'!$A$4:$AI$51,31,FALSE)+VLOOKUP($A49,'Beef Manure Inventory'!$A$4:$AL$51,36,FALSE)+VLOOKUP($A49,'Beef Manure Inventory'!$A$4:$AL$51,37,FALSE)</f>
        <v>0.17624776545441367</v>
      </c>
      <c r="D49" s="29">
        <f t="shared" si="0"/>
        <v>1.6554286459575585</v>
      </c>
      <c r="E49" s="30">
        <f>SUM('Dairy Enteric Inventory'!M51:P51)</f>
        <v>6.7796653148758743</v>
      </c>
      <c r="F49" s="28">
        <f>SUM('Dairy Manure Inventory'!AM49:AP49)</f>
        <v>5.2871323456344479</v>
      </c>
      <c r="G49" s="29">
        <f t="shared" si="1"/>
        <v>12.066797660510321</v>
      </c>
    </row>
    <row r="50" spans="1:7" ht="15.75" customHeight="1">
      <c r="A50" s="31" t="s">
        <v>83</v>
      </c>
      <c r="B50" s="27">
        <f>VLOOKUP($A50,'Beef Enteric inventory'!$AE$4:$AF$51,2,FALSE)</f>
        <v>0.6588759748427675</v>
      </c>
      <c r="C50" s="28">
        <f>VLOOKUP($A50,'Beef Manure Inventory'!$A$4:$AI$51,30,FALSE)+VLOOKUP($A50,'Beef Manure Inventory'!$A$4:$AI$51,31,FALSE)+VLOOKUP($A50,'Beef Manure Inventory'!$A$4:$AL$51,36,FALSE)+VLOOKUP($A50,'Beef Manure Inventory'!$A$4:$AL$51,37,FALSE)</f>
        <v>4.5086111351454621E-2</v>
      </c>
      <c r="D50" s="29">
        <f t="shared" si="0"/>
        <v>0.70396208619422207</v>
      </c>
      <c r="E50" s="30">
        <f>SUM('Dairy Enteric Inventory'!M52:P52)</f>
        <v>3.164828611972019E-2</v>
      </c>
      <c r="F50" s="28">
        <f>SUM('Dairy Manure Inventory'!AM50:AP50)</f>
        <v>1.482834590033039E-2</v>
      </c>
      <c r="G50" s="29">
        <f t="shared" si="1"/>
        <v>4.6476632020050576E-2</v>
      </c>
    </row>
    <row r="51" spans="1:7" ht="15.75" customHeight="1">
      <c r="A51" s="31" t="s">
        <v>84</v>
      </c>
      <c r="B51" s="27">
        <f>VLOOKUP($A51,'Beef Enteric inventory'!$AE$4:$AF$51,2,FALSE)</f>
        <v>2.6990420125786168</v>
      </c>
      <c r="C51" s="28">
        <f>VLOOKUP($A51,'Beef Manure Inventory'!$A$4:$AI$51,30,FALSE)+VLOOKUP($A51,'Beef Manure Inventory'!$A$4:$AI$51,31,FALSE)+VLOOKUP($A51,'Beef Manure Inventory'!$A$4:$AL$51,36,FALSE)+VLOOKUP($A51,'Beef Manure Inventory'!$A$4:$AL$51,37,FALSE)</f>
        <v>0.16780026557877509</v>
      </c>
      <c r="D51" s="29">
        <f t="shared" si="0"/>
        <v>2.8668422781573919</v>
      </c>
      <c r="E51" s="30">
        <f>SUM('Dairy Enteric Inventory'!M53:P53)</f>
        <v>3.3768000491772372E-2</v>
      </c>
      <c r="F51" s="28">
        <f>SUM('Dairy Manure Inventory'!AM51:AP51)</f>
        <v>3.2864343904133203E-2</v>
      </c>
      <c r="G51" s="29">
        <f t="shared" si="1"/>
        <v>6.6632344395905568E-2</v>
      </c>
    </row>
    <row r="52" spans="1:7" ht="15.75" customHeight="1">
      <c r="A52" s="33"/>
      <c r="B52" s="33"/>
      <c r="C52" s="34"/>
      <c r="D52" s="33"/>
      <c r="E52" s="33"/>
      <c r="F52" s="33"/>
      <c r="G52" s="33"/>
    </row>
    <row r="53" spans="1:7" ht="15.75" customHeight="1">
      <c r="A53" s="35"/>
      <c r="B53" s="36"/>
      <c r="C53" s="36"/>
      <c r="D53" s="37"/>
      <c r="E53" s="37"/>
      <c r="F53" s="38"/>
      <c r="G53" s="38"/>
    </row>
    <row r="54" spans="1:7" ht="15.75" customHeight="1">
      <c r="A54" s="35"/>
      <c r="B54" s="36"/>
      <c r="C54" s="36"/>
      <c r="D54" s="37"/>
      <c r="E54" s="37"/>
      <c r="F54" s="39"/>
      <c r="G54" s="39"/>
    </row>
    <row r="55" spans="1:7" ht="15.75" customHeight="1">
      <c r="A55" s="35"/>
      <c r="B55" s="36"/>
      <c r="C55" s="36"/>
      <c r="D55" s="37"/>
      <c r="E55" s="37"/>
      <c r="F55" s="39"/>
      <c r="G55" s="39"/>
    </row>
    <row r="56" spans="1:7" ht="15.75" customHeight="1">
      <c r="A56" s="40"/>
      <c r="B56" s="36"/>
      <c r="C56" s="36"/>
      <c r="D56" s="37"/>
      <c r="E56" s="37"/>
      <c r="F56" s="39"/>
      <c r="G56" s="39"/>
    </row>
    <row r="57" spans="1:7" ht="15.75" customHeight="1">
      <c r="A57" s="40"/>
      <c r="B57" s="36"/>
      <c r="C57" s="36"/>
      <c r="D57" s="37"/>
      <c r="E57" s="37"/>
      <c r="F57" s="39"/>
      <c r="G57" s="39"/>
    </row>
    <row r="58" spans="1:7" ht="15.75" customHeight="1">
      <c r="A58" s="40"/>
      <c r="B58" s="36"/>
      <c r="C58" s="36"/>
      <c r="D58" s="37"/>
      <c r="E58" s="37"/>
      <c r="F58" s="39"/>
      <c r="G58" s="39"/>
    </row>
    <row r="59" spans="1:7" ht="15.75" customHeight="1">
      <c r="A59" s="40"/>
      <c r="B59" s="36"/>
      <c r="C59" s="36"/>
      <c r="D59" s="37"/>
      <c r="E59" s="37"/>
      <c r="F59" s="39"/>
      <c r="G59" s="39"/>
    </row>
    <row r="60" spans="1:7" ht="15.75" customHeight="1">
      <c r="A60" s="40"/>
      <c r="B60" s="36"/>
      <c r="C60" s="36"/>
      <c r="D60" s="37"/>
      <c r="E60" s="37"/>
      <c r="F60" s="39"/>
      <c r="G60" s="39"/>
    </row>
    <row r="61" spans="1:7" ht="15.75" customHeight="1">
      <c r="A61" s="40"/>
      <c r="B61" s="36"/>
      <c r="C61" s="36"/>
      <c r="D61" s="37"/>
      <c r="E61" s="37"/>
      <c r="F61" s="39"/>
      <c r="G61" s="39"/>
    </row>
    <row r="62" spans="1:7" ht="15.75" customHeight="1">
      <c r="A62" s="40"/>
      <c r="B62" s="36"/>
      <c r="C62" s="36"/>
      <c r="D62" s="37"/>
      <c r="E62" s="37"/>
      <c r="F62" s="39"/>
      <c r="G62" s="39"/>
    </row>
    <row r="63" spans="1:7" ht="15.75" customHeight="1">
      <c r="A63" s="40"/>
      <c r="B63" s="36"/>
      <c r="C63" s="36"/>
      <c r="D63" s="37"/>
      <c r="E63" s="37"/>
      <c r="F63" s="39"/>
      <c r="G63" s="39"/>
    </row>
    <row r="64" spans="1:7" ht="15.75" customHeight="1">
      <c r="A64" s="40"/>
      <c r="B64" s="36"/>
      <c r="C64" s="36"/>
      <c r="D64" s="37"/>
      <c r="E64" s="37"/>
      <c r="F64" s="39"/>
      <c r="G64" s="39"/>
    </row>
    <row r="65" spans="1:7" ht="15.75" customHeight="1">
      <c r="A65" s="40"/>
      <c r="B65" s="36"/>
      <c r="C65" s="36"/>
      <c r="D65" s="37"/>
      <c r="E65" s="37"/>
      <c r="F65" s="39"/>
      <c r="G65" s="39"/>
    </row>
    <row r="66" spans="1:7" ht="15.75" customHeight="1">
      <c r="A66" s="40"/>
      <c r="B66" s="36"/>
      <c r="C66" s="36"/>
      <c r="D66" s="37"/>
      <c r="E66" s="37"/>
      <c r="F66" s="39"/>
      <c r="G66" s="39"/>
    </row>
    <row r="67" spans="1:7" ht="15.75" customHeight="1">
      <c r="A67" s="40"/>
      <c r="B67" s="36"/>
      <c r="C67" s="36"/>
      <c r="D67" s="37"/>
      <c r="E67" s="37"/>
      <c r="F67" s="39"/>
      <c r="G67" s="39"/>
    </row>
    <row r="68" spans="1:7" ht="15.75" customHeight="1">
      <c r="A68" s="40"/>
      <c r="B68" s="36"/>
      <c r="C68" s="36"/>
      <c r="D68" s="37"/>
      <c r="E68" s="37"/>
      <c r="F68" s="39"/>
      <c r="G68" s="39"/>
    </row>
    <row r="69" spans="1:7" ht="15.75" customHeight="1">
      <c r="A69" s="40"/>
      <c r="B69" s="36"/>
      <c r="C69" s="36"/>
      <c r="D69" s="37"/>
      <c r="E69" s="37"/>
      <c r="F69" s="39"/>
      <c r="G69" s="39"/>
    </row>
    <row r="70" spans="1:7" ht="15.75" customHeight="1">
      <c r="A70" s="40"/>
      <c r="B70" s="36"/>
      <c r="C70" s="36"/>
      <c r="D70" s="37"/>
      <c r="E70" s="37"/>
      <c r="F70" s="39"/>
      <c r="G70" s="39"/>
    </row>
    <row r="71" spans="1:7" ht="15.75" customHeight="1">
      <c r="A71" s="40"/>
      <c r="B71" s="36"/>
      <c r="C71" s="36"/>
      <c r="D71" s="37"/>
      <c r="E71" s="37"/>
      <c r="F71" s="39"/>
      <c r="G71" s="39"/>
    </row>
    <row r="72" spans="1:7" ht="15.75" customHeight="1">
      <c r="A72" s="40"/>
      <c r="B72" s="36"/>
      <c r="C72" s="36"/>
      <c r="D72" s="37"/>
      <c r="E72" s="37"/>
      <c r="F72" s="39"/>
      <c r="G72" s="39"/>
    </row>
    <row r="73" spans="1:7" ht="15.75" customHeight="1">
      <c r="A73" s="40"/>
      <c r="B73" s="36"/>
      <c r="C73" s="36"/>
      <c r="D73" s="37"/>
      <c r="E73" s="37"/>
      <c r="F73" s="39"/>
      <c r="G73" s="39"/>
    </row>
    <row r="74" spans="1:7" ht="15.75" customHeight="1">
      <c r="A74" s="40"/>
      <c r="B74" s="36"/>
      <c r="C74" s="36"/>
      <c r="D74" s="37"/>
      <c r="E74" s="37"/>
      <c r="F74" s="39"/>
      <c r="G74" s="39"/>
    </row>
    <row r="75" spans="1:7" ht="15.75" customHeight="1">
      <c r="A75" s="40"/>
      <c r="B75" s="36"/>
      <c r="C75" s="36"/>
      <c r="D75" s="37"/>
      <c r="E75" s="37"/>
      <c r="F75" s="39"/>
      <c r="G75" s="39"/>
    </row>
    <row r="76" spans="1:7" ht="15.75" customHeight="1">
      <c r="A76" s="40"/>
      <c r="B76" s="36"/>
      <c r="C76" s="36"/>
      <c r="D76" s="37"/>
      <c r="E76" s="37"/>
      <c r="F76" s="39"/>
      <c r="G76" s="39"/>
    </row>
    <row r="77" spans="1:7" ht="15.75" customHeight="1">
      <c r="A77" s="40"/>
      <c r="B77" s="36"/>
      <c r="C77" s="36"/>
      <c r="D77" s="37"/>
      <c r="E77" s="37"/>
      <c r="F77" s="39"/>
      <c r="G77" s="39"/>
    </row>
    <row r="78" spans="1:7" ht="15.75" customHeight="1">
      <c r="A78" s="40"/>
      <c r="B78" s="36"/>
      <c r="C78" s="36"/>
      <c r="D78" s="37"/>
      <c r="E78" s="37"/>
      <c r="F78" s="39"/>
      <c r="G78" s="39"/>
    </row>
    <row r="79" spans="1:7" ht="15.75" customHeight="1">
      <c r="A79" s="40"/>
      <c r="B79" s="36"/>
      <c r="C79" s="36"/>
      <c r="D79" s="37"/>
      <c r="E79" s="37"/>
      <c r="F79" s="39"/>
      <c r="G79" s="39"/>
    </row>
    <row r="80" spans="1:7" ht="15.75" customHeight="1">
      <c r="A80" s="40"/>
      <c r="B80" s="36"/>
      <c r="C80" s="36"/>
      <c r="D80" s="37"/>
      <c r="E80" s="37"/>
      <c r="F80" s="39"/>
      <c r="G80" s="39"/>
    </row>
    <row r="81" spans="1:7" ht="15.75" customHeight="1">
      <c r="A81" s="40"/>
      <c r="B81" s="36"/>
      <c r="C81" s="36"/>
      <c r="D81" s="37"/>
      <c r="E81" s="37"/>
      <c r="F81" s="39"/>
      <c r="G81" s="39"/>
    </row>
    <row r="82" spans="1:7" ht="15.75" customHeight="1">
      <c r="A82" s="40"/>
      <c r="B82" s="36"/>
      <c r="C82" s="36"/>
      <c r="D82" s="37"/>
      <c r="E82" s="37"/>
      <c r="F82" s="39"/>
      <c r="G82" s="39"/>
    </row>
    <row r="83" spans="1:7" ht="15.75" customHeight="1">
      <c r="A83" s="40"/>
      <c r="B83" s="36"/>
      <c r="C83" s="36"/>
      <c r="D83" s="37"/>
      <c r="E83" s="37"/>
      <c r="F83" s="39"/>
      <c r="G83" s="39"/>
    </row>
    <row r="84" spans="1:7" ht="15.75" customHeight="1">
      <c r="A84" s="40"/>
      <c r="B84" s="36"/>
      <c r="C84" s="36"/>
      <c r="D84" s="37"/>
      <c r="E84" s="37"/>
      <c r="F84" s="39"/>
      <c r="G84" s="39"/>
    </row>
    <row r="85" spans="1:7" ht="15.75" customHeight="1">
      <c r="A85" s="40"/>
      <c r="B85" s="36"/>
      <c r="C85" s="36"/>
      <c r="D85" s="37"/>
      <c r="E85" s="37"/>
      <c r="F85" s="39"/>
      <c r="G85" s="39"/>
    </row>
    <row r="86" spans="1:7" ht="15.75" customHeight="1">
      <c r="A86" s="40"/>
      <c r="B86" s="36"/>
      <c r="C86" s="36"/>
      <c r="D86" s="37"/>
      <c r="E86" s="37"/>
      <c r="F86" s="39"/>
      <c r="G86" s="39"/>
    </row>
    <row r="87" spans="1:7" ht="15.75" customHeight="1">
      <c r="A87" s="40"/>
      <c r="B87" s="36"/>
      <c r="C87" s="36"/>
      <c r="D87" s="37"/>
      <c r="E87" s="37"/>
      <c r="F87" s="39"/>
      <c r="G87" s="39"/>
    </row>
    <row r="88" spans="1:7" ht="15.75" customHeight="1">
      <c r="A88" s="40"/>
      <c r="B88" s="36"/>
      <c r="C88" s="36"/>
      <c r="D88" s="37"/>
      <c r="E88" s="37"/>
      <c r="F88" s="39"/>
      <c r="G88" s="39"/>
    </row>
    <row r="89" spans="1:7" ht="15.75" customHeight="1">
      <c r="A89" s="40"/>
      <c r="B89" s="36"/>
      <c r="C89" s="36"/>
      <c r="D89" s="37"/>
      <c r="E89" s="37"/>
      <c r="F89" s="39"/>
      <c r="G89" s="39"/>
    </row>
    <row r="90" spans="1:7" ht="15.75" customHeight="1">
      <c r="A90" s="40"/>
      <c r="B90" s="36"/>
      <c r="C90" s="36"/>
      <c r="D90" s="37"/>
      <c r="E90" s="37"/>
      <c r="F90" s="39"/>
      <c r="G90" s="39"/>
    </row>
    <row r="91" spans="1:7" ht="15.75" customHeight="1">
      <c r="A91" s="40"/>
      <c r="B91" s="36"/>
      <c r="C91" s="36"/>
      <c r="D91" s="37"/>
      <c r="E91" s="37"/>
      <c r="F91" s="39"/>
      <c r="G91" s="39"/>
    </row>
    <row r="92" spans="1:7" ht="15.75" customHeight="1">
      <c r="A92" s="40"/>
      <c r="B92" s="36"/>
      <c r="C92" s="36"/>
      <c r="D92" s="37"/>
      <c r="E92" s="37"/>
      <c r="F92" s="39"/>
      <c r="G92" s="39"/>
    </row>
    <row r="93" spans="1:7" ht="15.75" customHeight="1">
      <c r="A93" s="40"/>
      <c r="B93" s="36"/>
      <c r="C93" s="36"/>
      <c r="D93" s="37"/>
      <c r="E93" s="37"/>
      <c r="F93" s="39"/>
      <c r="G93" s="39"/>
    </row>
    <row r="94" spans="1:7" ht="15.75" customHeight="1">
      <c r="A94" s="40"/>
      <c r="B94" s="36"/>
      <c r="C94" s="36"/>
      <c r="D94" s="37"/>
      <c r="E94" s="37"/>
      <c r="F94" s="39"/>
      <c r="G94" s="39"/>
    </row>
    <row r="95" spans="1:7" ht="15.75" customHeight="1">
      <c r="A95" s="40"/>
      <c r="B95" s="36"/>
      <c r="C95" s="36"/>
      <c r="D95" s="37"/>
      <c r="E95" s="37"/>
      <c r="F95" s="39"/>
      <c r="G95" s="39"/>
    </row>
    <row r="96" spans="1:7" ht="15.75" customHeight="1">
      <c r="A96" s="40"/>
      <c r="B96" s="36"/>
      <c r="C96" s="41"/>
      <c r="D96" s="37"/>
      <c r="E96" s="37"/>
      <c r="F96" s="39"/>
      <c r="G96" s="39"/>
    </row>
    <row r="97" spans="1:7" ht="15.75" customHeight="1">
      <c r="A97" s="40"/>
      <c r="B97" s="36"/>
      <c r="C97" s="41"/>
      <c r="D97" s="37"/>
      <c r="E97" s="37"/>
      <c r="F97" s="39"/>
      <c r="G97" s="39"/>
    </row>
    <row r="98" spans="1:7" ht="15.75" customHeight="1">
      <c r="A98" s="40"/>
      <c r="B98" s="36"/>
      <c r="C98" s="41"/>
      <c r="D98" s="37"/>
      <c r="E98" s="37"/>
      <c r="F98" s="39"/>
      <c r="G98" s="39"/>
    </row>
    <row r="99" spans="1:7" ht="15.75" customHeight="1">
      <c r="A99" s="40"/>
      <c r="B99" s="36"/>
      <c r="C99" s="41"/>
      <c r="D99" s="37"/>
      <c r="E99" s="37"/>
      <c r="F99" s="39"/>
      <c r="G99" s="39"/>
    </row>
    <row r="100" spans="1:7" ht="15.75" customHeight="1">
      <c r="A100" s="40"/>
      <c r="B100" s="36"/>
      <c r="C100" s="41"/>
      <c r="D100" s="37"/>
      <c r="E100" s="37"/>
      <c r="F100" s="39"/>
      <c r="G100" s="39"/>
    </row>
    <row r="101" spans="1:7" ht="15.75" customHeight="1">
      <c r="A101" s="42"/>
      <c r="B101" s="33"/>
      <c r="C101" s="43"/>
      <c r="D101" s="33"/>
      <c r="E101" s="33"/>
      <c r="F101" s="33"/>
      <c r="G101" s="33"/>
    </row>
    <row r="102" spans="1:7" ht="15.75" customHeight="1">
      <c r="A102" s="42"/>
      <c r="B102" s="33"/>
      <c r="C102" s="43"/>
      <c r="D102" s="33"/>
      <c r="E102" s="33"/>
      <c r="F102" s="33"/>
      <c r="G102" s="33"/>
    </row>
    <row r="103" spans="1:7" ht="15.75" customHeight="1">
      <c r="A103" s="42"/>
      <c r="B103" s="33"/>
      <c r="C103" s="43"/>
      <c r="D103" s="33"/>
      <c r="E103" s="33"/>
      <c r="F103" s="33"/>
      <c r="G103" s="33"/>
    </row>
    <row r="104" spans="1:7" ht="15.75" customHeight="1">
      <c r="A104" s="42"/>
      <c r="B104" s="33"/>
      <c r="C104" s="43"/>
      <c r="D104" s="33"/>
      <c r="E104" s="33"/>
      <c r="F104" s="33"/>
      <c r="G104" s="33"/>
    </row>
    <row r="105" spans="1:7" ht="15.75" customHeight="1">
      <c r="A105" s="42"/>
      <c r="B105" s="33"/>
      <c r="C105" s="43"/>
      <c r="D105" s="33"/>
      <c r="E105" s="33"/>
      <c r="F105" s="33"/>
      <c r="G105" s="33"/>
    </row>
    <row r="106" spans="1:7" ht="15.75" customHeight="1">
      <c r="A106" s="42"/>
      <c r="B106" s="33"/>
      <c r="C106" s="43"/>
      <c r="D106" s="33"/>
      <c r="E106" s="33"/>
      <c r="F106" s="33"/>
      <c r="G106" s="33"/>
    </row>
    <row r="107" spans="1:7" ht="15.75" customHeight="1">
      <c r="A107" s="42"/>
      <c r="B107" s="33"/>
      <c r="C107" s="43"/>
      <c r="D107" s="33"/>
      <c r="E107" s="33"/>
      <c r="F107" s="33"/>
      <c r="G107" s="33"/>
    </row>
    <row r="108" spans="1:7" ht="15.75" customHeight="1">
      <c r="A108" s="42"/>
      <c r="B108" s="33"/>
      <c r="C108" s="43"/>
      <c r="D108" s="33"/>
      <c r="E108" s="33"/>
      <c r="F108" s="33"/>
      <c r="G108" s="33"/>
    </row>
    <row r="109" spans="1:7" ht="15.75" customHeight="1">
      <c r="A109" s="42"/>
      <c r="B109" s="33"/>
      <c r="C109" s="43"/>
      <c r="D109" s="33"/>
      <c r="E109" s="33"/>
      <c r="F109" s="33"/>
      <c r="G109" s="33"/>
    </row>
    <row r="110" spans="1:7" ht="15.75" customHeight="1">
      <c r="A110" s="42"/>
      <c r="B110" s="33"/>
      <c r="C110" s="43"/>
      <c r="D110" s="33"/>
      <c r="E110" s="33"/>
      <c r="F110" s="33"/>
      <c r="G110" s="33"/>
    </row>
    <row r="111" spans="1:7" ht="15.75" customHeight="1">
      <c r="A111" s="42"/>
      <c r="B111" s="33"/>
      <c r="C111" s="43"/>
      <c r="D111" s="33"/>
      <c r="E111" s="33"/>
      <c r="F111" s="33"/>
      <c r="G111" s="33"/>
    </row>
    <row r="112" spans="1:7" ht="15.75" customHeight="1">
      <c r="A112" s="42"/>
      <c r="B112" s="33"/>
      <c r="C112" s="43"/>
      <c r="D112" s="33"/>
      <c r="E112" s="33"/>
      <c r="F112" s="33"/>
      <c r="G112" s="33"/>
    </row>
    <row r="113" spans="1:7" ht="15.75" customHeight="1">
      <c r="A113" s="42"/>
      <c r="B113" s="33"/>
      <c r="C113" s="43"/>
      <c r="D113" s="33"/>
      <c r="E113" s="33"/>
      <c r="F113" s="33"/>
      <c r="G113" s="33"/>
    </row>
    <row r="114" spans="1:7" ht="15.75" customHeight="1">
      <c r="A114" s="42"/>
      <c r="B114" s="33"/>
      <c r="C114" s="43"/>
      <c r="D114" s="33"/>
      <c r="E114" s="33"/>
      <c r="F114" s="33"/>
      <c r="G114" s="33"/>
    </row>
    <row r="115" spans="1:7" ht="15.75" customHeight="1">
      <c r="A115" s="42"/>
      <c r="B115" s="33"/>
      <c r="C115" s="43"/>
      <c r="D115" s="33"/>
      <c r="E115" s="33"/>
      <c r="F115" s="33"/>
      <c r="G115" s="33"/>
    </row>
    <row r="116" spans="1:7" ht="15.75" customHeight="1">
      <c r="A116" s="42"/>
      <c r="B116" s="33"/>
      <c r="C116" s="43"/>
      <c r="D116" s="33"/>
      <c r="E116" s="33"/>
      <c r="F116" s="33"/>
      <c r="G116" s="33"/>
    </row>
    <row r="117" spans="1:7" ht="15.75" customHeight="1">
      <c r="A117" s="42"/>
      <c r="B117" s="33"/>
      <c r="C117" s="43"/>
      <c r="D117" s="33"/>
      <c r="E117" s="33"/>
      <c r="F117" s="33"/>
      <c r="G117" s="33"/>
    </row>
    <row r="118" spans="1:7" ht="15.75" customHeight="1">
      <c r="A118" s="42"/>
      <c r="B118" s="33"/>
      <c r="C118" s="43"/>
      <c r="D118" s="33"/>
      <c r="E118" s="33"/>
      <c r="F118" s="33"/>
      <c r="G118" s="33"/>
    </row>
    <row r="119" spans="1:7" ht="15.75" customHeight="1">
      <c r="A119" s="42"/>
      <c r="B119" s="33"/>
      <c r="C119" s="43"/>
      <c r="D119" s="33"/>
      <c r="E119" s="33"/>
      <c r="F119" s="33"/>
      <c r="G119" s="33"/>
    </row>
    <row r="120" spans="1:7" ht="15.75" customHeight="1">
      <c r="A120" s="42"/>
      <c r="B120" s="33"/>
      <c r="C120" s="43"/>
      <c r="D120" s="33"/>
      <c r="E120" s="33"/>
      <c r="F120" s="33"/>
      <c r="G120" s="33"/>
    </row>
    <row r="121" spans="1:7" ht="15.75" customHeight="1">
      <c r="A121" s="42"/>
      <c r="B121" s="33"/>
      <c r="C121" s="43"/>
      <c r="D121" s="33"/>
      <c r="E121" s="33"/>
      <c r="F121" s="33"/>
      <c r="G121" s="33"/>
    </row>
    <row r="122" spans="1:7" ht="15.75" customHeight="1">
      <c r="A122" s="42"/>
      <c r="B122" s="33"/>
      <c r="C122" s="43"/>
      <c r="D122" s="33"/>
      <c r="E122" s="33"/>
      <c r="F122" s="33"/>
      <c r="G122" s="33"/>
    </row>
    <row r="123" spans="1:7" ht="15.75" customHeight="1">
      <c r="A123" s="42"/>
      <c r="B123" s="33"/>
      <c r="C123" s="43"/>
      <c r="D123" s="33"/>
      <c r="E123" s="33"/>
      <c r="F123" s="33"/>
      <c r="G123" s="33"/>
    </row>
    <row r="124" spans="1:7" ht="15.75" customHeight="1">
      <c r="A124" s="42"/>
      <c r="B124" s="33"/>
      <c r="C124" s="43"/>
      <c r="D124" s="33"/>
      <c r="E124" s="33"/>
      <c r="F124" s="33"/>
      <c r="G124" s="33"/>
    </row>
    <row r="125" spans="1:7" ht="15.75" customHeight="1">
      <c r="A125" s="42"/>
      <c r="B125" s="33"/>
      <c r="C125" s="43"/>
      <c r="D125" s="33"/>
      <c r="E125" s="33"/>
      <c r="F125" s="33"/>
      <c r="G125" s="33"/>
    </row>
    <row r="126" spans="1:7" ht="15.75" customHeight="1">
      <c r="A126" s="42"/>
      <c r="B126" s="33"/>
      <c r="C126" s="43"/>
      <c r="D126" s="33"/>
      <c r="E126" s="33"/>
      <c r="F126" s="33"/>
      <c r="G126" s="33"/>
    </row>
    <row r="127" spans="1:7" ht="15.75" customHeight="1">
      <c r="A127" s="42"/>
      <c r="B127" s="33"/>
      <c r="C127" s="43"/>
      <c r="D127" s="33"/>
      <c r="E127" s="33"/>
      <c r="F127" s="33"/>
      <c r="G127" s="33"/>
    </row>
    <row r="128" spans="1:7" ht="15.75" customHeight="1">
      <c r="A128" s="42"/>
      <c r="B128" s="33"/>
      <c r="C128" s="43"/>
      <c r="D128" s="33"/>
      <c r="E128" s="33"/>
      <c r="F128" s="33"/>
      <c r="G128" s="33"/>
    </row>
    <row r="129" spans="1:7" ht="15.75" customHeight="1">
      <c r="A129" s="42"/>
      <c r="B129" s="33"/>
      <c r="C129" s="43"/>
      <c r="D129" s="33"/>
      <c r="E129" s="33"/>
      <c r="F129" s="33"/>
      <c r="G129" s="33"/>
    </row>
    <row r="130" spans="1:7" ht="15.75" customHeight="1">
      <c r="A130" s="42"/>
      <c r="B130" s="33"/>
      <c r="C130" s="43"/>
      <c r="D130" s="33"/>
      <c r="E130" s="33"/>
      <c r="F130" s="33"/>
      <c r="G130" s="33"/>
    </row>
    <row r="131" spans="1:7" ht="15.75" customHeight="1">
      <c r="A131" s="42"/>
      <c r="B131" s="33"/>
      <c r="C131" s="43"/>
      <c r="D131" s="33"/>
      <c r="E131" s="33"/>
      <c r="F131" s="33"/>
      <c r="G131" s="33"/>
    </row>
    <row r="132" spans="1:7" ht="15.75" customHeight="1">
      <c r="A132" s="42"/>
      <c r="B132" s="33"/>
      <c r="C132" s="43"/>
      <c r="D132" s="33"/>
      <c r="E132" s="33"/>
      <c r="F132" s="33"/>
      <c r="G132" s="33"/>
    </row>
    <row r="133" spans="1:7" ht="15.75" customHeight="1">
      <c r="A133" s="42"/>
      <c r="B133" s="33"/>
      <c r="C133" s="43"/>
      <c r="D133" s="33"/>
      <c r="E133" s="33"/>
      <c r="F133" s="33"/>
      <c r="G133" s="33"/>
    </row>
    <row r="134" spans="1:7" ht="15.75" customHeight="1">
      <c r="A134" s="42"/>
      <c r="B134" s="33"/>
      <c r="C134" s="43"/>
      <c r="D134" s="33"/>
      <c r="E134" s="33"/>
      <c r="F134" s="33"/>
      <c r="G134" s="33"/>
    </row>
    <row r="135" spans="1:7" ht="15.75" customHeight="1">
      <c r="A135" s="42"/>
      <c r="B135" s="33"/>
      <c r="C135" s="43"/>
      <c r="D135" s="33"/>
      <c r="E135" s="33"/>
      <c r="F135" s="33"/>
      <c r="G135" s="33"/>
    </row>
    <row r="136" spans="1:7" ht="15.75" customHeight="1">
      <c r="A136" s="42"/>
      <c r="B136" s="33"/>
      <c r="C136" s="43"/>
      <c r="D136" s="33"/>
      <c r="E136" s="33"/>
      <c r="F136" s="33"/>
      <c r="G136" s="33"/>
    </row>
    <row r="137" spans="1:7" ht="15.75" customHeight="1">
      <c r="A137" s="42"/>
      <c r="B137" s="33"/>
      <c r="C137" s="43"/>
      <c r="D137" s="33"/>
      <c r="E137" s="33"/>
      <c r="F137" s="33"/>
      <c r="G137" s="33"/>
    </row>
    <row r="138" spans="1:7" ht="15.75" customHeight="1">
      <c r="A138" s="42"/>
      <c r="B138" s="33"/>
      <c r="C138" s="43"/>
      <c r="D138" s="33"/>
      <c r="E138" s="33"/>
      <c r="F138" s="33"/>
      <c r="G138" s="33"/>
    </row>
    <row r="139" spans="1:7" ht="15.75" customHeight="1">
      <c r="A139" s="42"/>
      <c r="B139" s="33"/>
      <c r="C139" s="43"/>
      <c r="D139" s="33"/>
      <c r="E139" s="33"/>
      <c r="F139" s="33"/>
      <c r="G139" s="33"/>
    </row>
    <row r="140" spans="1:7" ht="15.75" customHeight="1">
      <c r="A140" s="42"/>
      <c r="B140" s="33"/>
      <c r="C140" s="43"/>
      <c r="D140" s="33"/>
      <c r="E140" s="33"/>
      <c r="F140" s="33"/>
      <c r="G140" s="33"/>
    </row>
    <row r="141" spans="1:7" ht="15.75" customHeight="1">
      <c r="A141" s="42"/>
      <c r="B141" s="33"/>
      <c r="C141" s="43"/>
      <c r="D141" s="33"/>
      <c r="E141" s="33"/>
      <c r="F141" s="33"/>
      <c r="G141" s="33"/>
    </row>
    <row r="142" spans="1:7" ht="15.75" customHeight="1">
      <c r="A142" s="42"/>
      <c r="B142" s="33"/>
      <c r="C142" s="43"/>
      <c r="D142" s="33"/>
      <c r="E142" s="33"/>
      <c r="F142" s="33"/>
      <c r="G142" s="33"/>
    </row>
    <row r="143" spans="1:7" ht="15.75" customHeight="1">
      <c r="A143" s="42"/>
      <c r="B143" s="33"/>
      <c r="C143" s="43"/>
      <c r="D143" s="33"/>
      <c r="E143" s="33"/>
      <c r="F143" s="33"/>
      <c r="G143" s="33"/>
    </row>
    <row r="144" spans="1:7" ht="15.75" customHeight="1">
      <c r="A144" s="42"/>
      <c r="B144" s="33"/>
      <c r="C144" s="43"/>
      <c r="D144" s="33"/>
      <c r="E144" s="33"/>
      <c r="F144" s="33"/>
      <c r="G144" s="33"/>
    </row>
    <row r="145" spans="1:7" ht="15.75" customHeight="1">
      <c r="A145" s="42"/>
      <c r="B145" s="33"/>
      <c r="C145" s="43"/>
      <c r="D145" s="33"/>
      <c r="E145" s="33"/>
      <c r="F145" s="33"/>
      <c r="G145" s="33"/>
    </row>
    <row r="146" spans="1:7" ht="15.75" customHeight="1">
      <c r="A146" s="42"/>
      <c r="B146" s="33"/>
      <c r="C146" s="43"/>
      <c r="D146" s="33"/>
      <c r="E146" s="33"/>
      <c r="F146" s="33"/>
      <c r="G146" s="33"/>
    </row>
    <row r="147" spans="1:7" ht="15.75" customHeight="1">
      <c r="A147" s="42"/>
      <c r="B147" s="33"/>
      <c r="C147" s="43"/>
      <c r="D147" s="33"/>
      <c r="E147" s="33"/>
      <c r="F147" s="33"/>
      <c r="G147" s="33"/>
    </row>
    <row r="148" spans="1:7" ht="15.75" customHeight="1">
      <c r="A148" s="42"/>
      <c r="B148" s="33"/>
      <c r="C148" s="43"/>
      <c r="D148" s="33"/>
      <c r="E148" s="33"/>
      <c r="F148" s="33"/>
      <c r="G148" s="33"/>
    </row>
    <row r="149" spans="1:7" ht="15.75" customHeight="1">
      <c r="A149" s="42"/>
      <c r="B149" s="33"/>
      <c r="C149" s="43"/>
      <c r="D149" s="33"/>
      <c r="E149" s="33"/>
      <c r="F149" s="33"/>
      <c r="G149" s="33"/>
    </row>
    <row r="150" spans="1:7" ht="15.75" customHeight="1">
      <c r="A150" s="42"/>
      <c r="B150" s="33"/>
      <c r="C150" s="43"/>
      <c r="D150" s="33"/>
      <c r="E150" s="33"/>
      <c r="F150" s="33"/>
      <c r="G150" s="33"/>
    </row>
    <row r="151" spans="1:7" ht="15.75" customHeight="1">
      <c r="A151" s="42"/>
      <c r="B151" s="33"/>
      <c r="C151" s="43"/>
      <c r="D151" s="33"/>
      <c r="E151" s="33"/>
      <c r="F151" s="33"/>
      <c r="G151" s="33"/>
    </row>
    <row r="152" spans="1:7" ht="15.75" customHeight="1">
      <c r="A152" s="42"/>
      <c r="B152" s="33"/>
      <c r="C152" s="43"/>
      <c r="D152" s="33"/>
      <c r="E152" s="33"/>
      <c r="F152" s="33"/>
      <c r="G152" s="33"/>
    </row>
    <row r="153" spans="1:7" ht="15.75" customHeight="1">
      <c r="A153" s="42"/>
      <c r="B153" s="33"/>
      <c r="C153" s="43"/>
      <c r="D153" s="33"/>
      <c r="E153" s="33"/>
      <c r="F153" s="33"/>
      <c r="G153" s="33"/>
    </row>
    <row r="154" spans="1:7" ht="15.75" customHeight="1">
      <c r="A154" s="42"/>
      <c r="B154" s="33"/>
      <c r="C154" s="43"/>
      <c r="D154" s="33"/>
      <c r="E154" s="33"/>
      <c r="F154" s="33"/>
      <c r="G154" s="33"/>
    </row>
    <row r="155" spans="1:7" ht="15.75" customHeight="1">
      <c r="A155" s="42"/>
      <c r="B155" s="33"/>
      <c r="C155" s="43"/>
      <c r="D155" s="33"/>
      <c r="E155" s="33"/>
      <c r="F155" s="33"/>
      <c r="G155" s="33"/>
    </row>
    <row r="156" spans="1:7" ht="15.75" customHeight="1">
      <c r="A156" s="42"/>
      <c r="B156" s="33"/>
      <c r="C156" s="43"/>
      <c r="D156" s="33"/>
      <c r="E156" s="33"/>
      <c r="F156" s="33"/>
      <c r="G156" s="33"/>
    </row>
    <row r="157" spans="1:7" ht="15.75" customHeight="1">
      <c r="A157" s="42"/>
      <c r="B157" s="33"/>
      <c r="C157" s="43"/>
      <c r="D157" s="33"/>
      <c r="E157" s="33"/>
      <c r="F157" s="33"/>
      <c r="G157" s="33"/>
    </row>
    <row r="158" spans="1:7" ht="15.75" customHeight="1">
      <c r="A158" s="42"/>
      <c r="B158" s="33"/>
      <c r="C158" s="43"/>
      <c r="D158" s="33"/>
      <c r="E158" s="33"/>
      <c r="F158" s="33"/>
      <c r="G158" s="33"/>
    </row>
    <row r="159" spans="1:7" ht="15.75" customHeight="1">
      <c r="A159" s="42"/>
      <c r="B159" s="33"/>
      <c r="C159" s="43"/>
      <c r="D159" s="33"/>
      <c r="E159" s="33"/>
      <c r="F159" s="33"/>
      <c r="G159" s="33"/>
    </row>
    <row r="160" spans="1:7" ht="15.75" customHeight="1">
      <c r="A160" s="42"/>
      <c r="B160" s="33"/>
      <c r="C160" s="43"/>
      <c r="D160" s="33"/>
      <c r="E160" s="33"/>
      <c r="F160" s="33"/>
      <c r="G160" s="33"/>
    </row>
    <row r="161" spans="1:7" ht="15.75" customHeight="1">
      <c r="A161" s="42"/>
      <c r="B161" s="33"/>
      <c r="C161" s="43"/>
      <c r="D161" s="33"/>
      <c r="E161" s="33"/>
      <c r="F161" s="33"/>
      <c r="G161" s="33"/>
    </row>
    <row r="162" spans="1:7" ht="15.75" customHeight="1">
      <c r="A162" s="42"/>
      <c r="B162" s="33"/>
      <c r="C162" s="43"/>
      <c r="D162" s="33"/>
      <c r="E162" s="33"/>
      <c r="F162" s="33"/>
      <c r="G162" s="33"/>
    </row>
    <row r="163" spans="1:7" ht="15.75" customHeight="1">
      <c r="A163" s="42"/>
      <c r="B163" s="33"/>
      <c r="C163" s="43"/>
      <c r="D163" s="33"/>
      <c r="E163" s="33"/>
      <c r="F163" s="33"/>
      <c r="G163" s="33"/>
    </row>
    <row r="164" spans="1:7" ht="15.75" customHeight="1">
      <c r="A164" s="42"/>
      <c r="B164" s="33"/>
      <c r="C164" s="43"/>
      <c r="D164" s="33"/>
      <c r="E164" s="33"/>
      <c r="F164" s="33"/>
      <c r="G164" s="33"/>
    </row>
    <row r="165" spans="1:7" ht="15.75" customHeight="1">
      <c r="A165" s="42"/>
      <c r="B165" s="33"/>
      <c r="C165" s="43"/>
      <c r="D165" s="33"/>
      <c r="E165" s="33"/>
      <c r="F165" s="33"/>
      <c r="G165" s="33"/>
    </row>
    <row r="166" spans="1:7" ht="15.75" customHeight="1">
      <c r="A166" s="42"/>
      <c r="B166" s="33"/>
      <c r="C166" s="43"/>
      <c r="D166" s="33"/>
      <c r="E166" s="33"/>
      <c r="F166" s="33"/>
      <c r="G166" s="33"/>
    </row>
    <row r="167" spans="1:7" ht="15.75" customHeight="1">
      <c r="A167" s="42"/>
      <c r="B167" s="33"/>
      <c r="C167" s="43"/>
      <c r="D167" s="33"/>
      <c r="E167" s="33"/>
      <c r="F167" s="33"/>
      <c r="G167" s="33"/>
    </row>
    <row r="168" spans="1:7" ht="15.75" customHeight="1">
      <c r="A168" s="42"/>
      <c r="B168" s="33"/>
      <c r="C168" s="43"/>
      <c r="D168" s="33"/>
      <c r="E168" s="33"/>
      <c r="F168" s="33"/>
      <c r="G168" s="33"/>
    </row>
    <row r="169" spans="1:7" ht="15.75" customHeight="1">
      <c r="A169" s="44"/>
      <c r="B169" s="45"/>
      <c r="C169" s="43"/>
      <c r="D169" s="45"/>
      <c r="E169" s="45"/>
      <c r="F169" s="45"/>
      <c r="G169" s="45"/>
    </row>
    <row r="170" spans="1:7" ht="15.75" customHeight="1">
      <c r="A170" s="44"/>
      <c r="B170" s="45"/>
      <c r="C170" s="43"/>
      <c r="D170" s="45"/>
      <c r="E170" s="45"/>
      <c r="F170" s="45"/>
      <c r="G170" s="45"/>
    </row>
    <row r="171" spans="1:7" ht="15.75" customHeight="1">
      <c r="A171" s="44"/>
      <c r="B171" s="45"/>
      <c r="C171" s="43"/>
      <c r="D171" s="45"/>
      <c r="E171" s="45"/>
      <c r="F171" s="45"/>
      <c r="G171" s="45"/>
    </row>
    <row r="172" spans="1:7" ht="15.75" customHeight="1">
      <c r="A172" s="44"/>
      <c r="B172" s="45"/>
      <c r="C172" s="43"/>
      <c r="D172" s="45"/>
      <c r="E172" s="45"/>
      <c r="F172" s="45"/>
      <c r="G172" s="45"/>
    </row>
    <row r="173" spans="1:7" ht="15.75" customHeight="1">
      <c r="A173" s="44"/>
      <c r="B173" s="45"/>
      <c r="C173" s="43"/>
      <c r="D173" s="45"/>
      <c r="E173" s="45"/>
      <c r="F173" s="45"/>
      <c r="G173" s="45"/>
    </row>
    <row r="174" spans="1:7" ht="15.75" customHeight="1">
      <c r="A174" s="44"/>
      <c r="B174" s="45"/>
      <c r="C174" s="43"/>
      <c r="D174" s="45"/>
      <c r="E174" s="45"/>
      <c r="F174" s="45"/>
      <c r="G174" s="45"/>
    </row>
    <row r="175" spans="1:7" ht="15.75" customHeight="1">
      <c r="A175" s="44"/>
      <c r="B175" s="45"/>
      <c r="C175" s="43"/>
      <c r="D175" s="45"/>
      <c r="E175" s="45"/>
      <c r="F175" s="45"/>
      <c r="G175" s="45"/>
    </row>
    <row r="176" spans="1:7" ht="15.75" customHeight="1">
      <c r="A176" s="44"/>
      <c r="B176" s="45"/>
      <c r="C176" s="43"/>
      <c r="D176" s="45"/>
      <c r="E176" s="45"/>
      <c r="F176" s="45"/>
      <c r="G176" s="45"/>
    </row>
    <row r="177" spans="1:7" ht="15.75" customHeight="1">
      <c r="A177" s="44"/>
      <c r="B177" s="45"/>
      <c r="C177" s="43"/>
      <c r="D177" s="45"/>
      <c r="E177" s="45"/>
      <c r="F177" s="45"/>
      <c r="G177" s="45"/>
    </row>
    <row r="178" spans="1:7" ht="15.75" customHeight="1">
      <c r="A178" s="44"/>
      <c r="B178" s="45"/>
      <c r="C178" s="43"/>
      <c r="D178" s="45"/>
      <c r="E178" s="45"/>
      <c r="F178" s="45"/>
      <c r="G178" s="45"/>
    </row>
    <row r="179" spans="1:7" ht="15.75" customHeight="1">
      <c r="A179" s="44"/>
      <c r="B179" s="45"/>
      <c r="C179" s="43"/>
      <c r="D179" s="45"/>
      <c r="E179" s="45"/>
      <c r="F179" s="45"/>
      <c r="G179" s="45"/>
    </row>
    <row r="180" spans="1:7" ht="15.75" customHeight="1">
      <c r="A180" s="44"/>
      <c r="B180" s="45"/>
      <c r="C180" s="43"/>
      <c r="D180" s="45"/>
      <c r="E180" s="45"/>
      <c r="F180" s="45"/>
      <c r="G180" s="45"/>
    </row>
    <row r="181" spans="1:7" ht="15.75" customHeight="1">
      <c r="A181" s="44"/>
      <c r="B181" s="45"/>
      <c r="C181" s="43"/>
      <c r="D181" s="45"/>
      <c r="E181" s="45"/>
      <c r="F181" s="45"/>
      <c r="G181" s="45"/>
    </row>
    <row r="182" spans="1:7" ht="15.75" customHeight="1">
      <c r="A182" s="44"/>
      <c r="B182" s="45"/>
      <c r="C182" s="43"/>
      <c r="D182" s="45"/>
      <c r="E182" s="45"/>
      <c r="F182" s="45"/>
      <c r="G182" s="45"/>
    </row>
    <row r="183" spans="1:7" ht="15.75" customHeight="1">
      <c r="A183" s="44"/>
      <c r="B183" s="45"/>
      <c r="C183" s="43"/>
      <c r="D183" s="45"/>
      <c r="E183" s="45"/>
      <c r="F183" s="45"/>
      <c r="G183" s="45"/>
    </row>
    <row r="184" spans="1:7" ht="15.75" customHeight="1">
      <c r="A184" s="44"/>
      <c r="B184" s="45"/>
      <c r="C184" s="43"/>
      <c r="D184" s="45"/>
      <c r="E184" s="45"/>
      <c r="F184" s="45"/>
      <c r="G184" s="45"/>
    </row>
    <row r="185" spans="1:7" ht="15.75" customHeight="1">
      <c r="A185" s="44"/>
      <c r="B185" s="45"/>
      <c r="C185" s="43"/>
      <c r="D185" s="45"/>
      <c r="E185" s="45"/>
      <c r="F185" s="45"/>
      <c r="G185" s="45"/>
    </row>
    <row r="186" spans="1:7" ht="15.75" customHeight="1">
      <c r="A186" s="44"/>
      <c r="B186" s="45"/>
      <c r="C186" s="43"/>
      <c r="D186" s="45"/>
      <c r="E186" s="45"/>
      <c r="F186" s="45"/>
      <c r="G186" s="45"/>
    </row>
    <row r="187" spans="1:7" ht="15.75" customHeight="1">
      <c r="A187" s="44"/>
      <c r="B187" s="45"/>
      <c r="C187" s="43"/>
      <c r="D187" s="45"/>
      <c r="E187" s="45"/>
      <c r="F187" s="45"/>
      <c r="G187" s="45"/>
    </row>
    <row r="188" spans="1:7" ht="15.75" customHeight="1">
      <c r="A188" s="44"/>
      <c r="B188" s="45"/>
      <c r="C188" s="43"/>
      <c r="D188" s="45"/>
      <c r="E188" s="45"/>
      <c r="F188" s="45"/>
      <c r="G188" s="45"/>
    </row>
    <row r="189" spans="1:7" ht="15.75" customHeight="1">
      <c r="A189" s="44"/>
      <c r="B189" s="45"/>
      <c r="C189" s="43"/>
      <c r="D189" s="45"/>
      <c r="E189" s="45"/>
      <c r="F189" s="45"/>
      <c r="G189" s="45"/>
    </row>
    <row r="190" spans="1:7" ht="15.75" customHeight="1">
      <c r="A190" s="44"/>
      <c r="B190" s="45"/>
      <c r="C190" s="43"/>
      <c r="D190" s="45"/>
      <c r="E190" s="45"/>
      <c r="F190" s="45"/>
      <c r="G190" s="45"/>
    </row>
    <row r="191" spans="1:7" ht="15.75" customHeight="1">
      <c r="A191" s="44"/>
      <c r="B191" s="45"/>
      <c r="C191" s="43"/>
      <c r="D191" s="45"/>
      <c r="E191" s="45"/>
      <c r="F191" s="45"/>
      <c r="G191" s="45"/>
    </row>
    <row r="192" spans="1:7" ht="15.75" customHeight="1">
      <c r="A192" s="44"/>
      <c r="B192" s="45"/>
      <c r="C192" s="43"/>
      <c r="D192" s="45"/>
      <c r="E192" s="45"/>
      <c r="F192" s="45"/>
      <c r="G192" s="45"/>
    </row>
    <row r="193" spans="1:7" ht="15.75" customHeight="1">
      <c r="A193" s="44"/>
      <c r="B193" s="45"/>
      <c r="C193" s="43"/>
      <c r="D193" s="45"/>
      <c r="E193" s="45"/>
      <c r="F193" s="45"/>
      <c r="G193" s="45"/>
    </row>
    <row r="194" spans="1:7" ht="15.75" customHeight="1">
      <c r="A194" s="44"/>
      <c r="B194" s="45"/>
      <c r="C194" s="43"/>
      <c r="D194" s="45"/>
      <c r="E194" s="45"/>
      <c r="F194" s="45"/>
      <c r="G194" s="45"/>
    </row>
    <row r="195" spans="1:7" ht="15.75" customHeight="1">
      <c r="A195" s="44"/>
      <c r="B195" s="45"/>
      <c r="C195" s="43"/>
      <c r="D195" s="45"/>
      <c r="E195" s="45"/>
      <c r="F195" s="45"/>
      <c r="G195" s="45"/>
    </row>
    <row r="196" spans="1:7" ht="15.75" customHeight="1">
      <c r="A196" s="44"/>
      <c r="B196" s="45"/>
      <c r="C196" s="43"/>
      <c r="D196" s="45"/>
      <c r="E196" s="45"/>
      <c r="F196" s="45"/>
      <c r="G196" s="45"/>
    </row>
    <row r="197" spans="1:7" ht="15.75" customHeight="1">
      <c r="A197" s="44"/>
      <c r="B197" s="45"/>
      <c r="C197" s="43"/>
      <c r="D197" s="45"/>
      <c r="E197" s="45"/>
      <c r="F197" s="45"/>
      <c r="G197" s="45"/>
    </row>
    <row r="198" spans="1:7" ht="15.75" customHeight="1">
      <c r="A198" s="44"/>
      <c r="B198" s="45"/>
      <c r="C198" s="43"/>
      <c r="D198" s="45"/>
      <c r="E198" s="45"/>
      <c r="F198" s="45"/>
      <c r="G198" s="45"/>
    </row>
    <row r="199" spans="1:7" ht="15.75" customHeight="1">
      <c r="A199" s="44"/>
      <c r="B199" s="45"/>
      <c r="C199" s="43"/>
      <c r="D199" s="45"/>
      <c r="E199" s="45"/>
      <c r="F199" s="45"/>
      <c r="G199" s="45"/>
    </row>
    <row r="200" spans="1:7" ht="15.75" customHeight="1">
      <c r="A200" s="44"/>
      <c r="B200" s="45"/>
      <c r="C200" s="43"/>
      <c r="D200" s="45"/>
      <c r="E200" s="45"/>
      <c r="F200" s="45"/>
      <c r="G200" s="45"/>
    </row>
    <row r="201" spans="1:7" ht="15.75" customHeight="1">
      <c r="A201" s="44"/>
      <c r="B201" s="45"/>
      <c r="C201" s="43"/>
      <c r="D201" s="45"/>
      <c r="E201" s="45"/>
      <c r="F201" s="45"/>
      <c r="G201" s="45"/>
    </row>
    <row r="202" spans="1:7" ht="15.75" customHeight="1">
      <c r="A202" s="44"/>
      <c r="B202" s="45"/>
      <c r="C202" s="43"/>
      <c r="D202" s="45"/>
      <c r="E202" s="45"/>
      <c r="F202" s="45"/>
      <c r="G202" s="45"/>
    </row>
    <row r="203" spans="1:7" ht="15.75" customHeight="1">
      <c r="A203" s="44"/>
      <c r="B203" s="45"/>
      <c r="C203" s="43"/>
      <c r="D203" s="45"/>
      <c r="E203" s="45"/>
      <c r="F203" s="45"/>
      <c r="G203" s="45"/>
    </row>
    <row r="204" spans="1:7" ht="15.75" customHeight="1">
      <c r="A204" s="44"/>
      <c r="B204" s="45"/>
      <c r="C204" s="43"/>
      <c r="D204" s="45"/>
      <c r="E204" s="45"/>
      <c r="F204" s="45"/>
      <c r="G204" s="45"/>
    </row>
    <row r="205" spans="1:7" ht="15.75" customHeight="1">
      <c r="A205" s="44"/>
      <c r="B205" s="45"/>
      <c r="C205" s="43"/>
      <c r="D205" s="45"/>
      <c r="E205" s="45"/>
      <c r="F205" s="45"/>
      <c r="G205" s="45"/>
    </row>
    <row r="206" spans="1:7" ht="15.75" customHeight="1">
      <c r="A206" s="44"/>
      <c r="B206" s="45"/>
      <c r="C206" s="43"/>
      <c r="D206" s="45"/>
      <c r="E206" s="45"/>
      <c r="F206" s="45"/>
      <c r="G206" s="45"/>
    </row>
    <row r="207" spans="1:7" ht="15.75" customHeight="1">
      <c r="A207" s="44"/>
      <c r="B207" s="45"/>
      <c r="C207" s="43"/>
      <c r="D207" s="45"/>
      <c r="E207" s="45"/>
      <c r="F207" s="45"/>
      <c r="G207" s="45"/>
    </row>
    <row r="208" spans="1:7" ht="15.75" customHeight="1">
      <c r="A208" s="44"/>
      <c r="B208" s="45"/>
      <c r="C208" s="43"/>
      <c r="D208" s="45"/>
      <c r="E208" s="45"/>
      <c r="F208" s="45"/>
      <c r="G208" s="45"/>
    </row>
    <row r="209" spans="1:7" ht="15.75" customHeight="1">
      <c r="A209" s="44"/>
      <c r="B209" s="45"/>
      <c r="C209" s="43"/>
      <c r="D209" s="45"/>
      <c r="E209" s="45"/>
      <c r="F209" s="45"/>
      <c r="G209" s="45"/>
    </row>
    <row r="210" spans="1:7" ht="15.75" customHeight="1">
      <c r="A210" s="44"/>
      <c r="B210" s="45"/>
      <c r="C210" s="43"/>
      <c r="D210" s="45"/>
      <c r="E210" s="45"/>
      <c r="F210" s="45"/>
      <c r="G210" s="45"/>
    </row>
    <row r="211" spans="1:7" ht="15.75" customHeight="1">
      <c r="A211" s="44"/>
      <c r="B211" s="45"/>
      <c r="C211" s="43"/>
      <c r="D211" s="45"/>
      <c r="E211" s="45"/>
      <c r="F211" s="45"/>
      <c r="G211" s="45"/>
    </row>
    <row r="212" spans="1:7" ht="15.75" customHeight="1">
      <c r="A212" s="44"/>
      <c r="B212" s="45"/>
      <c r="C212" s="43"/>
      <c r="D212" s="45"/>
      <c r="E212" s="45"/>
      <c r="F212" s="45"/>
      <c r="G212" s="45"/>
    </row>
    <row r="213" spans="1:7" ht="15.75" customHeight="1">
      <c r="A213" s="44"/>
      <c r="B213" s="45"/>
      <c r="C213" s="43"/>
      <c r="D213" s="45"/>
      <c r="E213" s="45"/>
      <c r="F213" s="45"/>
      <c r="G213" s="45"/>
    </row>
    <row r="214" spans="1:7" ht="15.75" customHeight="1">
      <c r="A214" s="44"/>
      <c r="B214" s="45"/>
      <c r="C214" s="43"/>
      <c r="D214" s="45"/>
      <c r="E214" s="45"/>
      <c r="F214" s="45"/>
      <c r="G214" s="45"/>
    </row>
    <row r="215" spans="1:7" ht="15.75" customHeight="1">
      <c r="A215" s="44"/>
      <c r="B215" s="45"/>
      <c r="C215" s="43"/>
      <c r="D215" s="45"/>
      <c r="E215" s="45"/>
      <c r="F215" s="45"/>
      <c r="G215" s="45"/>
    </row>
    <row r="216" spans="1:7" ht="15.75" customHeight="1">
      <c r="A216" s="44"/>
      <c r="B216" s="45"/>
      <c r="C216" s="43"/>
      <c r="D216" s="45"/>
      <c r="E216" s="45"/>
      <c r="F216" s="45"/>
      <c r="G216" s="45"/>
    </row>
    <row r="217" spans="1:7" ht="15.75" customHeight="1">
      <c r="A217" s="44"/>
      <c r="B217" s="45"/>
      <c r="C217" s="43"/>
      <c r="D217" s="45"/>
      <c r="E217" s="45"/>
      <c r="F217" s="45"/>
      <c r="G217" s="45"/>
    </row>
    <row r="218" spans="1:7" ht="15.75" customHeight="1">
      <c r="A218" s="44"/>
      <c r="B218" s="45"/>
      <c r="C218" s="43"/>
      <c r="D218" s="45"/>
      <c r="E218" s="45"/>
      <c r="F218" s="45"/>
      <c r="G218" s="45"/>
    </row>
    <row r="219" spans="1:7" ht="15.75" customHeight="1">
      <c r="A219" s="44"/>
      <c r="B219" s="45"/>
      <c r="C219" s="43"/>
      <c r="D219" s="45"/>
      <c r="E219" s="45"/>
      <c r="F219" s="45"/>
      <c r="G219" s="45"/>
    </row>
    <row r="220" spans="1:7" ht="15.75" customHeight="1">
      <c r="A220" s="44"/>
      <c r="B220" s="45"/>
      <c r="C220" s="43"/>
      <c r="D220" s="45"/>
      <c r="E220" s="45"/>
      <c r="F220" s="45"/>
      <c r="G220" s="45"/>
    </row>
    <row r="221" spans="1:7" ht="15.75" customHeight="1">
      <c r="A221" s="44"/>
      <c r="B221" s="45"/>
      <c r="C221" s="43"/>
      <c r="D221" s="45"/>
      <c r="E221" s="45"/>
      <c r="F221" s="45"/>
      <c r="G221" s="45"/>
    </row>
    <row r="222" spans="1:7" ht="15.75" customHeight="1">
      <c r="A222" s="44"/>
      <c r="B222" s="45"/>
      <c r="C222" s="43"/>
      <c r="D222" s="45"/>
      <c r="E222" s="45"/>
      <c r="F222" s="45"/>
      <c r="G222" s="45"/>
    </row>
    <row r="223" spans="1:7" ht="15.75" customHeight="1">
      <c r="A223" s="44"/>
      <c r="B223" s="45"/>
      <c r="C223" s="43"/>
      <c r="D223" s="45"/>
      <c r="E223" s="45"/>
      <c r="F223" s="45"/>
      <c r="G223" s="45"/>
    </row>
    <row r="224" spans="1:7" ht="15.75" customHeight="1">
      <c r="A224" s="44"/>
      <c r="B224" s="45"/>
      <c r="C224" s="43"/>
      <c r="D224" s="45"/>
      <c r="E224" s="45"/>
      <c r="F224" s="45"/>
      <c r="G224" s="45"/>
    </row>
    <row r="225" spans="1:7" ht="15.75" customHeight="1">
      <c r="A225" s="44"/>
      <c r="B225" s="45"/>
      <c r="C225" s="43"/>
      <c r="D225" s="45"/>
      <c r="E225" s="45"/>
      <c r="F225" s="45"/>
      <c r="G225" s="45"/>
    </row>
    <row r="226" spans="1:7" ht="15.75" customHeight="1">
      <c r="A226" s="44"/>
      <c r="B226" s="45"/>
      <c r="C226" s="43"/>
      <c r="D226" s="45"/>
      <c r="E226" s="45"/>
      <c r="F226" s="45"/>
      <c r="G226" s="45"/>
    </row>
    <row r="227" spans="1:7" ht="15.75" customHeight="1">
      <c r="A227" s="44"/>
      <c r="B227" s="45"/>
      <c r="C227" s="43"/>
      <c r="D227" s="45"/>
      <c r="E227" s="45"/>
      <c r="F227" s="45"/>
      <c r="G227" s="45"/>
    </row>
    <row r="228" spans="1:7" ht="15.75" customHeight="1">
      <c r="A228" s="44"/>
      <c r="B228" s="45"/>
      <c r="C228" s="43"/>
      <c r="D228" s="45"/>
      <c r="E228" s="45"/>
      <c r="F228" s="45"/>
      <c r="G228" s="45"/>
    </row>
    <row r="229" spans="1:7" ht="15.75" customHeight="1">
      <c r="A229" s="44"/>
      <c r="B229" s="45"/>
      <c r="C229" s="43"/>
      <c r="D229" s="45"/>
      <c r="E229" s="45"/>
      <c r="F229" s="45"/>
      <c r="G229" s="45"/>
    </row>
    <row r="230" spans="1:7" ht="15.75" customHeight="1">
      <c r="A230" s="44"/>
      <c r="B230" s="45"/>
      <c r="C230" s="43"/>
      <c r="D230" s="45"/>
      <c r="E230" s="45"/>
      <c r="F230" s="45"/>
      <c r="G230" s="45"/>
    </row>
    <row r="231" spans="1:7" ht="15.75" customHeight="1">
      <c r="A231" s="44"/>
      <c r="B231" s="45"/>
      <c r="C231" s="43"/>
      <c r="D231" s="45"/>
      <c r="E231" s="45"/>
      <c r="F231" s="45"/>
      <c r="G231" s="45"/>
    </row>
    <row r="232" spans="1:7" ht="15.75" customHeight="1">
      <c r="A232" s="44"/>
      <c r="B232" s="45"/>
      <c r="C232" s="43"/>
      <c r="D232" s="45"/>
      <c r="E232" s="45"/>
      <c r="F232" s="45"/>
      <c r="G232" s="45"/>
    </row>
    <row r="233" spans="1:7" ht="15.75" customHeight="1">
      <c r="A233" s="44"/>
      <c r="B233" s="45"/>
      <c r="C233" s="43"/>
      <c r="D233" s="45"/>
      <c r="E233" s="45"/>
      <c r="F233" s="45"/>
      <c r="G233" s="45"/>
    </row>
    <row r="234" spans="1:7" ht="15.75" customHeight="1">
      <c r="A234" s="44"/>
      <c r="B234" s="45"/>
      <c r="C234" s="43"/>
      <c r="D234" s="45"/>
      <c r="E234" s="45"/>
      <c r="F234" s="45"/>
      <c r="G234" s="45"/>
    </row>
    <row r="235" spans="1:7" ht="15.75" customHeight="1">
      <c r="A235" s="44"/>
      <c r="B235" s="45"/>
      <c r="C235" s="43"/>
      <c r="D235" s="45"/>
      <c r="E235" s="45"/>
      <c r="F235" s="45"/>
      <c r="G235" s="45"/>
    </row>
    <row r="236" spans="1:7" ht="15.75" customHeight="1">
      <c r="A236" s="44"/>
      <c r="B236" s="45"/>
      <c r="C236" s="43"/>
      <c r="D236" s="45"/>
      <c r="E236" s="45"/>
      <c r="F236" s="45"/>
      <c r="G236" s="45"/>
    </row>
    <row r="237" spans="1:7" ht="15.75" customHeight="1">
      <c r="A237" s="44"/>
      <c r="B237" s="45"/>
      <c r="C237" s="43"/>
      <c r="D237" s="45"/>
      <c r="E237" s="45"/>
      <c r="F237" s="45"/>
      <c r="G237" s="45"/>
    </row>
    <row r="238" spans="1:7" ht="15.75" customHeight="1">
      <c r="A238" s="44"/>
      <c r="B238" s="45"/>
      <c r="C238" s="43"/>
      <c r="D238" s="45"/>
      <c r="E238" s="45"/>
      <c r="F238" s="45"/>
      <c r="G238" s="45"/>
    </row>
    <row r="239" spans="1:7" ht="15.75" customHeight="1">
      <c r="A239" s="44"/>
      <c r="B239" s="45"/>
      <c r="C239" s="43"/>
      <c r="D239" s="45"/>
      <c r="E239" s="45"/>
      <c r="F239" s="45"/>
      <c r="G239" s="45"/>
    </row>
    <row r="240" spans="1:7" ht="15.75" customHeight="1">
      <c r="A240" s="44"/>
      <c r="B240" s="45"/>
      <c r="C240" s="43"/>
      <c r="D240" s="45"/>
      <c r="E240" s="45"/>
      <c r="F240" s="45"/>
      <c r="G240" s="45"/>
    </row>
    <row r="241" spans="1:7" ht="15.75" customHeight="1">
      <c r="A241" s="44"/>
      <c r="B241" s="45"/>
      <c r="C241" s="43"/>
      <c r="D241" s="45"/>
      <c r="E241" s="45"/>
      <c r="F241" s="45"/>
      <c r="G241" s="45"/>
    </row>
    <row r="242" spans="1:7" ht="15.75" customHeight="1">
      <c r="A242" s="44"/>
      <c r="B242" s="45"/>
      <c r="C242" s="43"/>
      <c r="D242" s="45"/>
      <c r="E242" s="45"/>
      <c r="F242" s="45"/>
      <c r="G242" s="45"/>
    </row>
    <row r="243" spans="1:7" ht="15.75" customHeight="1">
      <c r="A243" s="44"/>
      <c r="B243" s="45"/>
      <c r="C243" s="43"/>
      <c r="D243" s="45"/>
      <c r="E243" s="45"/>
      <c r="F243" s="45"/>
      <c r="G243" s="45"/>
    </row>
    <row r="244" spans="1:7" ht="15.75" customHeight="1">
      <c r="A244" s="44"/>
      <c r="B244" s="45"/>
      <c r="C244" s="43"/>
      <c r="D244" s="45"/>
      <c r="E244" s="45"/>
      <c r="F244" s="45"/>
      <c r="G244" s="45"/>
    </row>
    <row r="245" spans="1:7" ht="15.75" customHeight="1">
      <c r="A245" s="44"/>
      <c r="B245" s="45"/>
      <c r="C245" s="43"/>
      <c r="D245" s="45"/>
      <c r="E245" s="45"/>
      <c r="F245" s="45"/>
      <c r="G245" s="45"/>
    </row>
    <row r="246" spans="1:7" ht="15.75" customHeight="1">
      <c r="A246" s="44"/>
      <c r="B246" s="45"/>
      <c r="C246" s="43"/>
      <c r="D246" s="45"/>
      <c r="E246" s="45"/>
      <c r="F246" s="45"/>
      <c r="G246" s="45"/>
    </row>
    <row r="247" spans="1:7" ht="15.75" customHeight="1">
      <c r="A247" s="44"/>
      <c r="B247" s="45"/>
      <c r="C247" s="43"/>
      <c r="D247" s="45"/>
      <c r="E247" s="45"/>
      <c r="F247" s="45"/>
      <c r="G247" s="45"/>
    </row>
    <row r="248" spans="1:7" ht="15.75" customHeight="1">
      <c r="A248" s="44"/>
      <c r="B248" s="45"/>
      <c r="C248" s="43"/>
      <c r="D248" s="45"/>
      <c r="E248" s="45"/>
      <c r="F248" s="45"/>
      <c r="G248" s="45"/>
    </row>
    <row r="249" spans="1:7" ht="15.75" customHeight="1">
      <c r="A249" s="44"/>
      <c r="B249" s="45"/>
      <c r="C249" s="43"/>
      <c r="D249" s="45"/>
      <c r="E249" s="45"/>
      <c r="F249" s="45"/>
      <c r="G249" s="45"/>
    </row>
    <row r="250" spans="1:7" ht="15.75" customHeight="1">
      <c r="A250" s="44"/>
      <c r="B250" s="45"/>
      <c r="C250" s="43"/>
      <c r="D250" s="45"/>
      <c r="E250" s="45"/>
      <c r="F250" s="45"/>
      <c r="G250" s="45"/>
    </row>
    <row r="251" spans="1:7" ht="15.75" customHeight="1">
      <c r="A251" s="44"/>
      <c r="B251" s="45"/>
      <c r="C251" s="43"/>
      <c r="D251" s="45"/>
      <c r="E251" s="45"/>
      <c r="F251" s="45"/>
      <c r="G251" s="45"/>
    </row>
    <row r="252" spans="1:7" ht="15.75" customHeight="1"/>
    <row r="253" spans="1:7" ht="15.75" customHeight="1"/>
    <row r="254" spans="1:7" ht="15.75" customHeight="1"/>
    <row r="255" spans="1:7" ht="15.75" customHeight="1"/>
    <row r="256" spans="1:7"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D1"/>
    <mergeCell ref="E1:G1"/>
  </mergeCells>
  <conditionalFormatting sqref="D1:D1000">
    <cfRule type="colorScale" priority="1">
      <colorScale>
        <cfvo type="min"/>
        <cfvo type="max"/>
        <color rgb="FFFFFFFF"/>
        <color rgb="FFFFD666"/>
      </colorScale>
    </cfRule>
  </conditionalFormatting>
  <conditionalFormatting sqref="G1:G1000">
    <cfRule type="colorScale" priority="2">
      <colorScale>
        <cfvo type="min"/>
        <cfvo type="max"/>
        <color rgb="FFFFFFFF"/>
        <color rgb="FFFFD666"/>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O52"/>
  <sheetViews>
    <sheetView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2.6640625" defaultRowHeight="15" customHeight="1"/>
  <sheetData>
    <row r="1" spans="1:15" ht="15" customHeight="1">
      <c r="A1" s="14"/>
      <c r="B1" s="213" t="s">
        <v>29</v>
      </c>
      <c r="C1" s="214"/>
      <c r="D1" s="214"/>
      <c r="E1" s="213" t="s">
        <v>30</v>
      </c>
      <c r="F1" s="214"/>
      <c r="G1" s="214"/>
    </row>
    <row r="2" spans="1:15" ht="15" customHeight="1">
      <c r="A2" s="15" t="s">
        <v>31</v>
      </c>
      <c r="B2" s="16" t="s">
        <v>32</v>
      </c>
      <c r="C2" s="17" t="s">
        <v>33</v>
      </c>
      <c r="D2" s="18" t="s">
        <v>34</v>
      </c>
      <c r="E2" s="16" t="s">
        <v>32</v>
      </c>
      <c r="F2" s="19" t="s">
        <v>33</v>
      </c>
      <c r="G2" s="20" t="s">
        <v>35</v>
      </c>
    </row>
    <row r="3" spans="1:15" ht="15" customHeight="1">
      <c r="A3" s="21"/>
      <c r="B3" s="46" t="s">
        <v>85</v>
      </c>
      <c r="C3" s="46" t="s">
        <v>85</v>
      </c>
      <c r="D3" s="46" t="s">
        <v>85</v>
      </c>
      <c r="E3" s="46" t="s">
        <v>85</v>
      </c>
      <c r="F3" s="46" t="s">
        <v>85</v>
      </c>
      <c r="G3" s="46" t="s">
        <v>85</v>
      </c>
    </row>
    <row r="4" spans="1:15" ht="15" customHeight="1">
      <c r="A4" s="26" t="s">
        <v>37</v>
      </c>
      <c r="B4" s="27">
        <f>'Beef Enteric inventory'!AF4/(SUM('Beef Enteric inventory'!C4:I4)*1000)*1000000</f>
        <v>1.6456835830604633</v>
      </c>
      <c r="C4" s="28">
        <f>'Beef Manure Inventory'!AL4/(SUM('Beef Enteric inventory'!C4:I4)*1000)*1000000</f>
        <v>0.23873171897858542</v>
      </c>
      <c r="D4" s="29">
        <f t="shared" ref="D4:D51" si="0">SUM(B4:C4)</f>
        <v>1.8844153020390486</v>
      </c>
      <c r="E4" s="30">
        <f>'Dairy Enteric Inventory'!Q6/SUM('Dairy Enteric Inventory'!C6:F6)*1000000</f>
        <v>2.6647295407533345</v>
      </c>
      <c r="F4" s="28">
        <f>'Dairy Manure Inventory'!AQ4/SUM('Dairy Enteric Inventory'!C6:F6)*1000000</f>
        <v>3.4617071927706413</v>
      </c>
      <c r="G4" s="29">
        <f t="shared" ref="G4:G51" si="1">SUM(E4:F4)</f>
        <v>6.1264367335239758</v>
      </c>
      <c r="H4" s="47"/>
      <c r="I4" s="47"/>
    </row>
    <row r="5" spans="1:15" ht="15" customHeight="1">
      <c r="A5" s="26" t="s">
        <v>38</v>
      </c>
      <c r="B5" s="27">
        <f>'Beef Enteric inventory'!AF5/(SUM('Beef Enteric inventory'!C5:I5)*1000)*1000000</f>
        <v>1.4802769535113749</v>
      </c>
      <c r="C5" s="28">
        <f>'Beef Manure Inventory'!AL5/(SUM('Beef Enteric inventory'!C5:I5)*1000)*1000000</f>
        <v>0.19146432613171419</v>
      </c>
      <c r="D5" s="29">
        <f t="shared" si="0"/>
        <v>1.6717412796430891</v>
      </c>
      <c r="E5" s="30">
        <f>'Dairy Enteric Inventory'!Q7/SUM('Dairy Enteric Inventory'!C7:F7)*1000000</f>
        <v>2.6260550825377509</v>
      </c>
      <c r="F5" s="28">
        <f>'Dairy Manure Inventory'!AQ5/SUM('Dairy Enteric Inventory'!C7:F7)*1000000</f>
        <v>1.9712695873163757</v>
      </c>
      <c r="G5" s="29">
        <f t="shared" si="1"/>
        <v>4.5973246698541264</v>
      </c>
      <c r="H5" s="47"/>
      <c r="I5" s="47"/>
    </row>
    <row r="6" spans="1:15" ht="15" customHeight="1">
      <c r="A6" s="26" t="s">
        <v>39</v>
      </c>
      <c r="B6" s="27">
        <f>'Beef Enteric inventory'!AF6/(SUM('Beef Enteric inventory'!C6:I6)*1000)*1000000</f>
        <v>1.7444656554445677</v>
      </c>
      <c r="C6" s="28">
        <f>'Beef Manure Inventory'!AL6/(SUM('Beef Enteric inventory'!C6:I6)*1000)*1000000</f>
        <v>0.14411244172845444</v>
      </c>
      <c r="D6" s="29">
        <f t="shared" si="0"/>
        <v>1.8885780971730222</v>
      </c>
      <c r="E6" s="30">
        <f>'Dairy Enteric Inventory'!Q8/SUM('Dairy Enteric Inventory'!C8:F8)*1000000</f>
        <v>2.6241918594413893</v>
      </c>
      <c r="F6" s="28">
        <f>'Dairy Manure Inventory'!AQ6/SUM('Dairy Enteric Inventory'!C8:F8)*1000000</f>
        <v>2.4233088669366953</v>
      </c>
      <c r="G6" s="29">
        <f t="shared" si="1"/>
        <v>5.0475007263780842</v>
      </c>
      <c r="H6" s="47"/>
      <c r="I6" s="47"/>
      <c r="J6" s="14"/>
      <c r="K6" s="14"/>
      <c r="L6" s="14"/>
      <c r="M6" s="14"/>
      <c r="N6" s="14"/>
      <c r="O6" s="14"/>
    </row>
    <row r="7" spans="1:15" ht="15" customHeight="1">
      <c r="A7" s="31" t="s">
        <v>40</v>
      </c>
      <c r="B7" s="27">
        <f>'Beef Enteric inventory'!AF7/(SUM('Beef Enteric inventory'!C7:I7)*1000)*1000000</f>
        <v>1.840400989758018</v>
      </c>
      <c r="C7" s="28">
        <f>'Beef Manure Inventory'!AL7/(SUM('Beef Enteric inventory'!C7:I7)*1000)*1000000</f>
        <v>0.12345374809840551</v>
      </c>
      <c r="D7" s="29">
        <f t="shared" si="0"/>
        <v>1.9638547378564235</v>
      </c>
      <c r="E7" s="30">
        <f>'Dairy Enteric Inventory'!Q9/SUM('Dairy Enteric Inventory'!C9:F9)*1000000</f>
        <v>2.6406401245770836</v>
      </c>
      <c r="F7" s="28">
        <f>'Dairy Manure Inventory'!AQ7/SUM('Dairy Enteric Inventory'!C9:F9)*1000000</f>
        <v>1.457965423732237</v>
      </c>
      <c r="G7" s="29">
        <f t="shared" si="1"/>
        <v>4.0986055483093207</v>
      </c>
      <c r="H7" s="47"/>
      <c r="I7" s="47"/>
      <c r="J7" s="48"/>
      <c r="K7" s="48"/>
      <c r="L7" s="48"/>
      <c r="M7" s="48"/>
      <c r="N7" s="48"/>
      <c r="O7" s="48"/>
    </row>
    <row r="8" spans="1:15" ht="15" customHeight="1">
      <c r="A8" s="31" t="s">
        <v>41</v>
      </c>
      <c r="B8" s="27">
        <f>'Beef Enteric inventory'!AF8/(SUM('Beef Enteric inventory'!C8:I8)*1000)*1000000</f>
        <v>1.8354492306475223</v>
      </c>
      <c r="C8" s="28">
        <f>'Beef Manure Inventory'!AL8/(SUM('Beef Enteric inventory'!C8:I8)*1000)*1000000</f>
        <v>0.12389048087647743</v>
      </c>
      <c r="D8" s="29">
        <f t="shared" si="0"/>
        <v>1.9593397115239997</v>
      </c>
      <c r="E8" s="30">
        <f>'Dairy Enteric Inventory'!Q10/SUM('Dairy Enteric Inventory'!C10:F10)*1000000</f>
        <v>2.5432820173837944</v>
      </c>
      <c r="F8" s="28">
        <f>'Dairy Manure Inventory'!AQ8/SUM('Dairy Enteric Inventory'!C10:F10)*1000000</f>
        <v>1.2159362014553121</v>
      </c>
      <c r="G8" s="29">
        <f t="shared" si="1"/>
        <v>3.7592182188391066</v>
      </c>
      <c r="H8" s="47"/>
      <c r="I8" s="47"/>
    </row>
    <row r="9" spans="1:15" ht="15" customHeight="1">
      <c r="A9" s="31" t="s">
        <v>42</v>
      </c>
      <c r="B9" s="27">
        <f>'Beef Enteric inventory'!AF9/(SUM('Beef Enteric inventory'!C9:I9)*1000)*1000000</f>
        <v>1.5192981343480789</v>
      </c>
      <c r="C9" s="28">
        <f>'Beef Manure Inventory'!AL9/(SUM('Beef Enteric inventory'!C9:I9)*1000)*1000000</f>
        <v>0.20341034992120116</v>
      </c>
      <c r="D9" s="29">
        <f t="shared" si="0"/>
        <v>1.7227084842692801</v>
      </c>
      <c r="E9" s="30">
        <f>'Dairy Enteric Inventory'!Q11/SUM('Dairy Enteric Inventory'!C11:F11)*1000000</f>
        <v>2.6239894934180721</v>
      </c>
      <c r="F9" s="28">
        <f>'Dairy Manure Inventory'!AQ9/SUM('Dairy Enteric Inventory'!C11:F11)*1000000</f>
        <v>2.4666491390276297</v>
      </c>
      <c r="G9" s="29">
        <f t="shared" si="1"/>
        <v>5.0906386324457014</v>
      </c>
      <c r="H9" s="47"/>
      <c r="I9" s="47"/>
    </row>
    <row r="10" spans="1:15" ht="15" customHeight="1">
      <c r="A10" s="31" t="s">
        <v>43</v>
      </c>
      <c r="B10" s="27">
        <f>'Beef Enteric inventory'!AF10/(SUM('Beef Enteric inventory'!C10:I10)*1000)*1000000</f>
        <v>1.5427312559746356</v>
      </c>
      <c r="C10" s="28">
        <f>'Beef Manure Inventory'!AL10/(SUM('Beef Enteric inventory'!C10:I10)*1000)*1000000</f>
        <v>0.19800719157310798</v>
      </c>
      <c r="D10" s="29">
        <f t="shared" si="0"/>
        <v>1.7407384475477437</v>
      </c>
      <c r="E10" s="30">
        <f>'Dairy Enteric Inventory'!Q12/SUM('Dairy Enteric Inventory'!C12:F12)*1000000</f>
        <v>2.5957653887978149</v>
      </c>
      <c r="F10" s="28">
        <f>'Dairy Manure Inventory'!AQ10/SUM('Dairy Enteric Inventory'!C12:F12)*1000000</f>
        <v>2.0792102055705199</v>
      </c>
      <c r="G10" s="29">
        <f t="shared" si="1"/>
        <v>4.6749755943683349</v>
      </c>
      <c r="H10" s="49"/>
      <c r="I10" s="50"/>
      <c r="J10" s="51"/>
      <c r="K10" s="51"/>
      <c r="L10" s="51"/>
      <c r="M10" s="51"/>
      <c r="N10" s="51"/>
      <c r="O10" s="52"/>
    </row>
    <row r="11" spans="1:15" ht="15" customHeight="1">
      <c r="A11" s="31" t="s">
        <v>44</v>
      </c>
      <c r="B11" s="27">
        <f>'Beef Enteric inventory'!AF11/(SUM('Beef Enteric inventory'!C11:I11)*1000)*1000000</f>
        <v>1.6515723270440257</v>
      </c>
      <c r="C11" s="28">
        <f>'Beef Manure Inventory'!AL11/(SUM('Beef Enteric inventory'!C11:I11)*1000)*1000000</f>
        <v>0.12314793311977144</v>
      </c>
      <c r="D11" s="29">
        <f t="shared" si="0"/>
        <v>1.774720260163797</v>
      </c>
      <c r="E11" s="30">
        <f>'Dairy Enteric Inventory'!Q13/SUM('Dairy Enteric Inventory'!C13:F13)*1000000</f>
        <v>2.6913735109509398</v>
      </c>
      <c r="F11" s="28">
        <f>'Dairy Manure Inventory'!AQ11/SUM('Dairy Enteric Inventory'!C13:F13)*1000000</f>
        <v>2.4070290348761283</v>
      </c>
      <c r="G11" s="29">
        <f t="shared" si="1"/>
        <v>5.0984025458270681</v>
      </c>
      <c r="H11" s="49"/>
      <c r="I11" s="53"/>
      <c r="J11" s="53"/>
      <c r="K11" s="53"/>
      <c r="L11" s="53"/>
      <c r="M11" s="53"/>
      <c r="N11" s="53"/>
      <c r="O11" s="53"/>
    </row>
    <row r="12" spans="1:15" ht="15" customHeight="1">
      <c r="A12" s="31" t="s">
        <v>45</v>
      </c>
      <c r="B12" s="27">
        <f>'Beef Enteric inventory'!AF12/(SUM('Beef Enteric inventory'!C12:I12)*1000)*1000000</f>
        <v>2.0194968553459121</v>
      </c>
      <c r="C12" s="28">
        <f>'Beef Manure Inventory'!AL12/(SUM('Beef Enteric inventory'!C12:I12)*1000)*1000000</f>
        <v>0.1181448101654857</v>
      </c>
      <c r="D12" s="29">
        <f t="shared" si="0"/>
        <v>2.1376416655113979</v>
      </c>
      <c r="E12" s="30">
        <f>'Dairy Enteric Inventory'!Q14/SUM('Dairy Enteric Inventory'!C14:F14)*1000000</f>
        <v>2.6466491087477246</v>
      </c>
      <c r="F12" s="28">
        <f>'Dairy Manure Inventory'!AQ12/SUM('Dairy Enteric Inventory'!C14:F14)*1000000</f>
        <v>2.2836754365454861</v>
      </c>
      <c r="G12" s="29">
        <f t="shared" si="1"/>
        <v>4.9303245452932103</v>
      </c>
      <c r="H12" s="47"/>
      <c r="I12" s="47"/>
    </row>
    <row r="13" spans="1:15" ht="15" customHeight="1">
      <c r="A13" s="31" t="s">
        <v>46</v>
      </c>
      <c r="B13" s="27">
        <f>'Beef Enteric inventory'!AF13/(SUM('Beef Enteric inventory'!C13:I13)*1000)*1000000</f>
        <v>1.84817288402448</v>
      </c>
      <c r="C13" s="28">
        <f>'Beef Manure Inventory'!AL13/(SUM('Beef Enteric inventory'!C13:I13)*1000)*1000000</f>
        <v>0.12263395994955063</v>
      </c>
      <c r="D13" s="29">
        <f t="shared" si="0"/>
        <v>1.9708068439740307</v>
      </c>
      <c r="E13" s="30">
        <f>'Dairy Enteric Inventory'!Q15/SUM('Dairy Enteric Inventory'!C15:F15)*1000000</f>
        <v>2.7812151963788447</v>
      </c>
      <c r="F13" s="28">
        <f>'Dairy Manure Inventory'!AQ13/SUM('Dairy Enteric Inventory'!C15:F15)*1000000</f>
        <v>2.5329360713571671</v>
      </c>
      <c r="G13" s="29">
        <f t="shared" si="1"/>
        <v>5.3141512677360119</v>
      </c>
      <c r="H13" s="47"/>
      <c r="I13" s="47"/>
      <c r="J13" s="47"/>
      <c r="K13" s="47"/>
      <c r="L13" s="47"/>
      <c r="M13" s="47"/>
      <c r="N13" s="47"/>
      <c r="O13" s="47"/>
    </row>
    <row r="14" spans="1:15" ht="15" customHeight="1">
      <c r="A14" s="31" t="s">
        <v>47</v>
      </c>
      <c r="B14" s="27">
        <f>'Beef Enteric inventory'!AF14/(SUM('Beef Enteric inventory'!C14:I14)*1000)*1000000</f>
        <v>1.8425616182219959</v>
      </c>
      <c r="C14" s="28">
        <f>'Beef Manure Inventory'!AL14/(SUM('Beef Enteric inventory'!C14:I14)*1000)*1000000</f>
        <v>0.12323502627244377</v>
      </c>
      <c r="D14" s="29">
        <f t="shared" si="0"/>
        <v>1.9657966444944397</v>
      </c>
      <c r="E14" s="30">
        <f>'Dairy Enteric Inventory'!Q16/SUM('Dairy Enteric Inventory'!C16:F16)*1000000</f>
        <v>2.7341328681021722</v>
      </c>
      <c r="F14" s="28">
        <f>'Dairy Manure Inventory'!AQ14/SUM('Dairy Enteric Inventory'!C16:F16)*1000000</f>
        <v>2.3007178215397222</v>
      </c>
      <c r="G14" s="29">
        <f t="shared" si="1"/>
        <v>5.0348506896418943</v>
      </c>
      <c r="H14" s="47"/>
      <c r="I14" s="47"/>
    </row>
    <row r="15" spans="1:15" ht="15" customHeight="1">
      <c r="A15" s="31" t="s">
        <v>48</v>
      </c>
      <c r="B15" s="27">
        <f>'Beef Enteric inventory'!AF15/(SUM('Beef Enteric inventory'!C15:I15)*1000)*1000000</f>
        <v>1.4321307683358313</v>
      </c>
      <c r="C15" s="28">
        <f>'Beef Manure Inventory'!AL15/(SUM('Beef Enteric inventory'!C15:I15)*1000)*1000000</f>
        <v>0.20434843752611606</v>
      </c>
      <c r="D15" s="29">
        <f t="shared" si="0"/>
        <v>1.6364792058619473</v>
      </c>
      <c r="E15" s="30">
        <f>'Dairy Enteric Inventory'!Q17/SUM('Dairy Enteric Inventory'!C17:F17)*1000000</f>
        <v>2.6336557459731251</v>
      </c>
      <c r="F15" s="28">
        <f>'Dairy Manure Inventory'!AQ15/SUM('Dairy Enteric Inventory'!C17:F17)*1000000</f>
        <v>2.6240274777351087</v>
      </c>
      <c r="G15" s="29">
        <f t="shared" si="1"/>
        <v>5.2576832237082343</v>
      </c>
      <c r="H15" s="47"/>
      <c r="I15" s="47"/>
    </row>
    <row r="16" spans="1:15" ht="15" customHeight="1">
      <c r="A16" s="31" t="s">
        <v>49</v>
      </c>
      <c r="B16" s="27">
        <f>'Beef Enteric inventory'!AF16/(SUM('Beef Enteric inventory'!C16:I16)*1000)*1000000</f>
        <v>1.704786149879262</v>
      </c>
      <c r="C16" s="28">
        <f>'Beef Manure Inventory'!AL16/(SUM('Beef Enteric inventory'!C16:I16)*1000)*1000000</f>
        <v>0.16229335164149555</v>
      </c>
      <c r="D16" s="29">
        <f t="shared" si="0"/>
        <v>1.8670795015207575</v>
      </c>
      <c r="E16" s="30">
        <f>'Dairy Enteric Inventory'!Q18/SUM('Dairy Enteric Inventory'!C18:F18)*1000000</f>
        <v>2.6424023307328466</v>
      </c>
      <c r="F16" s="28">
        <f>'Dairy Manure Inventory'!AQ16/SUM('Dairy Enteric Inventory'!C18:F18)*1000000</f>
        <v>2.9602071706617044</v>
      </c>
      <c r="G16" s="29">
        <f t="shared" si="1"/>
        <v>5.6026095013945509</v>
      </c>
      <c r="H16" s="47"/>
      <c r="I16" s="47"/>
      <c r="J16" s="54"/>
    </row>
    <row r="17" spans="1:9" ht="15" customHeight="1">
      <c r="A17" s="31" t="s">
        <v>50</v>
      </c>
      <c r="B17" s="27">
        <f>'Beef Enteric inventory'!AF17/(SUM('Beef Enteric inventory'!C17:I17)*1000)*1000000</f>
        <v>1.5553053877373983</v>
      </c>
      <c r="C17" s="28">
        <f>'Beef Manure Inventory'!AL17/(SUM('Beef Enteric inventory'!C17:I17)*1000)*1000000</f>
        <v>0.17829487527894808</v>
      </c>
      <c r="D17" s="29">
        <f t="shared" si="0"/>
        <v>1.7336002630163465</v>
      </c>
      <c r="E17" s="30">
        <f>'Dairy Enteric Inventory'!Q19/SUM('Dairy Enteric Inventory'!C19:F19)*1000000</f>
        <v>2.6407355495940594</v>
      </c>
      <c r="F17" s="28">
        <f>'Dairy Manure Inventory'!AQ17/SUM('Dairy Enteric Inventory'!C19:F19)*1000000</f>
        <v>2.2166606077200024</v>
      </c>
      <c r="G17" s="29">
        <f t="shared" si="1"/>
        <v>4.8573961573140618</v>
      </c>
      <c r="H17" s="47"/>
      <c r="I17" s="47"/>
    </row>
    <row r="18" spans="1:9" ht="15" customHeight="1">
      <c r="A18" s="31" t="s">
        <v>51</v>
      </c>
      <c r="B18" s="27">
        <f>'Beef Enteric inventory'!AF18/(SUM('Beef Enteric inventory'!C18:I18)*1000)*1000000</f>
        <v>1.5891075710214793</v>
      </c>
      <c r="C18" s="28">
        <f>'Beef Manure Inventory'!AL18/(SUM('Beef Enteric inventory'!C18:I18)*1000)*1000000</f>
        <v>0.17111701147057976</v>
      </c>
      <c r="D18" s="29">
        <f t="shared" si="0"/>
        <v>1.760224582492059</v>
      </c>
      <c r="E18" s="30">
        <f>'Dairy Enteric Inventory'!Q20/SUM('Dairy Enteric Inventory'!C20:F20)*1000000</f>
        <v>2.6972617374178771</v>
      </c>
      <c r="F18" s="28">
        <f>'Dairy Manure Inventory'!AQ18/SUM('Dairy Enteric Inventory'!C20:F20)*1000000</f>
        <v>2.6930003403415905</v>
      </c>
      <c r="G18" s="29">
        <f t="shared" si="1"/>
        <v>5.3902620777594681</v>
      </c>
      <c r="H18" s="47"/>
      <c r="I18" s="47"/>
    </row>
    <row r="19" spans="1:9" ht="15" customHeight="1">
      <c r="A19" s="31" t="s">
        <v>52</v>
      </c>
      <c r="B19" s="27">
        <f>'Beef Enteric inventory'!AF19/(SUM('Beef Enteric inventory'!C19:I19)*1000)*1000000</f>
        <v>1.4086437496688844</v>
      </c>
      <c r="C19" s="28">
        <f>'Beef Manure Inventory'!AL19/(SUM('Beef Enteric inventory'!C19:I19)*1000)*1000000</f>
        <v>0.2122204025150756</v>
      </c>
      <c r="D19" s="29">
        <f t="shared" si="0"/>
        <v>1.62086415218396</v>
      </c>
      <c r="E19" s="30">
        <f>'Dairy Enteric Inventory'!Q21/SUM('Dairy Enteric Inventory'!C21:F21)*1000000</f>
        <v>2.517140701700701</v>
      </c>
      <c r="F19" s="28">
        <f>'Dairy Manure Inventory'!AQ19/SUM('Dairy Enteric Inventory'!C21:F21)*1000000</f>
        <v>2.9275685451375932</v>
      </c>
      <c r="G19" s="29">
        <f t="shared" si="1"/>
        <v>5.4447092468382943</v>
      </c>
      <c r="H19" s="47"/>
      <c r="I19" s="47"/>
    </row>
    <row r="20" spans="1:9" ht="15" customHeight="1">
      <c r="A20" s="31" t="s">
        <v>53</v>
      </c>
      <c r="B20" s="27">
        <f>'Beef Enteric inventory'!AF20/(SUM('Beef Enteric inventory'!C20:I20)*1000)*1000000</f>
        <v>1.8287551652169038</v>
      </c>
      <c r="C20" s="28">
        <f>'Beef Manure Inventory'!AL20/(SUM('Beef Enteric inventory'!C20:I20)*1000)*1000000</f>
        <v>0.12344898041524265</v>
      </c>
      <c r="D20" s="29">
        <f t="shared" si="0"/>
        <v>1.9522041456321464</v>
      </c>
      <c r="E20" s="30">
        <f>'Dairy Enteric Inventory'!Q22/SUM('Dairy Enteric Inventory'!C22:F22)*1000000</f>
        <v>2.5088906090354346</v>
      </c>
      <c r="F20" s="28">
        <f>'Dairy Manure Inventory'!AQ20/SUM('Dairy Enteric Inventory'!C22:F22)*1000000</f>
        <v>1.3264584922554854</v>
      </c>
      <c r="G20" s="29">
        <f t="shared" si="1"/>
        <v>3.83534910129092</v>
      </c>
      <c r="H20" s="47"/>
      <c r="I20" s="47"/>
    </row>
    <row r="21" spans="1:9" ht="15" customHeight="1">
      <c r="A21" s="31" t="s">
        <v>54</v>
      </c>
      <c r="B21" s="27">
        <f>'Beef Enteric inventory'!AF21/(SUM('Beef Enteric inventory'!C21:I21)*1000)*1000000</f>
        <v>1.848444335538675</v>
      </c>
      <c r="C21" s="28">
        <f>'Beef Manure Inventory'!AL21/(SUM('Beef Enteric inventory'!C21:I21)*1000)*1000000</f>
        <v>0.1231654680373824</v>
      </c>
      <c r="D21" s="29">
        <f t="shared" si="0"/>
        <v>1.9716098035760574</v>
      </c>
      <c r="E21" s="30">
        <f>'Dairy Enteric Inventory'!Q23/SUM('Dairy Enteric Inventory'!C23:F23)*1000000</f>
        <v>2.7915527758656911</v>
      </c>
      <c r="F21" s="28">
        <f>'Dairy Manure Inventory'!AQ21/SUM('Dairy Enteric Inventory'!C23:F23)*1000000</f>
        <v>1.5761520603156944</v>
      </c>
      <c r="G21" s="29">
        <f t="shared" si="1"/>
        <v>4.3677048361813853</v>
      </c>
      <c r="H21" s="47"/>
      <c r="I21" s="47"/>
    </row>
    <row r="22" spans="1:9" ht="15" customHeight="1">
      <c r="A22" s="31" t="s">
        <v>55</v>
      </c>
      <c r="B22" s="27">
        <f>'Beef Enteric inventory'!AF22/(SUM('Beef Enteric inventory'!C22:I22)*1000)*1000000</f>
        <v>1.7303602058319045</v>
      </c>
      <c r="C22" s="28">
        <f>'Beef Manure Inventory'!AL22/(SUM('Beef Enteric inventory'!C22:I22)*1000)*1000000</f>
        <v>0.1221076101141403</v>
      </c>
      <c r="D22" s="29">
        <f t="shared" si="0"/>
        <v>1.8524678159460448</v>
      </c>
      <c r="E22" s="30">
        <f>'Dairy Enteric Inventory'!Q24/SUM('Dairy Enteric Inventory'!C24:F24)*1000000</f>
        <v>2.6028801599250144</v>
      </c>
      <c r="F22" s="28">
        <f>'Dairy Manure Inventory'!AQ22/SUM('Dairy Enteric Inventory'!C24:F24)*1000000</f>
        <v>1.4237940929186479</v>
      </c>
      <c r="G22" s="29">
        <f t="shared" si="1"/>
        <v>4.0266742528436623</v>
      </c>
      <c r="H22" s="47"/>
      <c r="I22" s="47"/>
    </row>
    <row r="23" spans="1:9" ht="15" customHeight="1">
      <c r="A23" s="31" t="s">
        <v>56</v>
      </c>
      <c r="B23" s="27">
        <f>'Beef Enteric inventory'!AF23/(SUM('Beef Enteric inventory'!C23:I23)*1000)*1000000</f>
        <v>1.7652803707381666</v>
      </c>
      <c r="C23" s="28">
        <f>'Beef Manure Inventory'!AL23/(SUM('Beef Enteric inventory'!C23:I23)*1000)*1000000</f>
        <v>0.14077598315088841</v>
      </c>
      <c r="D23" s="29">
        <f t="shared" si="0"/>
        <v>1.9060563538890549</v>
      </c>
      <c r="E23" s="30">
        <f>'Dairy Enteric Inventory'!Q25/SUM('Dairy Enteric Inventory'!C25:F25)*1000000</f>
        <v>2.6107433199295698</v>
      </c>
      <c r="F23" s="28">
        <f>'Dairy Manure Inventory'!AQ23/SUM('Dairy Enteric Inventory'!C25:F25)*1000000</f>
        <v>1.8903605630020326</v>
      </c>
      <c r="G23" s="29">
        <f t="shared" si="1"/>
        <v>4.5011038829316021</v>
      </c>
      <c r="H23" s="47"/>
      <c r="I23" s="47"/>
    </row>
    <row r="24" spans="1:9" ht="15" customHeight="1">
      <c r="A24" s="31" t="s">
        <v>57</v>
      </c>
      <c r="B24" s="27">
        <f>'Beef Enteric inventory'!AF24/(SUM('Beef Enteric inventory'!C24:I24)*1000)*1000000</f>
        <v>1.7886582809224323</v>
      </c>
      <c r="C24" s="28">
        <f>'Beef Manure Inventory'!AL24/(SUM('Beef Enteric inventory'!C24:I24)*1000)*1000000</f>
        <v>0.13526509687866667</v>
      </c>
      <c r="D24" s="29">
        <f t="shared" si="0"/>
        <v>1.9239233778010989</v>
      </c>
      <c r="E24" s="30">
        <f>'Dairy Enteric Inventory'!Q26/SUM('Dairy Enteric Inventory'!C26:F26)*1000000</f>
        <v>2.694578572723938</v>
      </c>
      <c r="F24" s="28">
        <f>'Dairy Manure Inventory'!AQ24/SUM('Dairy Enteric Inventory'!C26:F26)*1000000</f>
        <v>1.9600228092591991</v>
      </c>
      <c r="G24" s="29">
        <f t="shared" si="1"/>
        <v>4.6546013819831371</v>
      </c>
      <c r="H24" s="47"/>
      <c r="I24" s="47"/>
    </row>
    <row r="25" spans="1:9" ht="15" customHeight="1">
      <c r="A25" s="32" t="s">
        <v>58</v>
      </c>
      <c r="B25" s="27">
        <f>'Beef Enteric inventory'!AF25/(SUM('Beef Enteric inventory'!C25:I25)*1000)*1000000</f>
        <v>1.4149791110507821</v>
      </c>
      <c r="C25" s="28">
        <f>'Beef Manure Inventory'!AL25/(SUM('Beef Enteric inventory'!C25:I25)*1000)*1000000</f>
        <v>0.21152999626387997</v>
      </c>
      <c r="D25" s="29">
        <f t="shared" si="0"/>
        <v>1.626509107314662</v>
      </c>
      <c r="E25" s="30">
        <f>'Dairy Enteric Inventory'!Q27/SUM('Dairy Enteric Inventory'!C27:F27)*1000000</f>
        <v>2.7067772705359436</v>
      </c>
      <c r="F25" s="28">
        <f>'Dairy Manure Inventory'!AQ25/SUM('Dairy Enteric Inventory'!C27:F27)*1000000</f>
        <v>2.7685020494864516</v>
      </c>
      <c r="G25" s="29">
        <f t="shared" si="1"/>
        <v>5.4752793200223948</v>
      </c>
      <c r="H25" s="47"/>
      <c r="I25" s="47"/>
    </row>
    <row r="26" spans="1:9" ht="15" customHeight="1">
      <c r="A26" s="31" t="s">
        <v>59</v>
      </c>
      <c r="B26" s="27">
        <f>'Beef Enteric inventory'!AF26/(SUM('Beef Enteric inventory'!C26:I26)*1000)*1000000</f>
        <v>1.7702849936111247</v>
      </c>
      <c r="C26" s="28">
        <f>'Beef Manure Inventory'!AL26/(SUM('Beef Enteric inventory'!C26:I26)*1000)*1000000</f>
        <v>0.13018758153938775</v>
      </c>
      <c r="D26" s="29">
        <f t="shared" si="0"/>
        <v>1.9004725751505125</v>
      </c>
      <c r="E26" s="30">
        <f>'Dairy Enteric Inventory'!Q28/SUM('Dairy Enteric Inventory'!C28:F28)*1000000</f>
        <v>2.6797044893124418</v>
      </c>
      <c r="F26" s="28">
        <f>'Dairy Manure Inventory'!AQ26/SUM('Dairy Enteric Inventory'!C28:F28)*1000000</f>
        <v>1.6470053890042362</v>
      </c>
      <c r="G26" s="29">
        <f t="shared" si="1"/>
        <v>4.3267098783166782</v>
      </c>
      <c r="H26" s="47"/>
      <c r="I26" s="47"/>
    </row>
    <row r="27" spans="1:9" ht="15" customHeight="1">
      <c r="A27" s="31" t="s">
        <v>60</v>
      </c>
      <c r="B27" s="27">
        <f>'Beef Enteric inventory'!AF27/(SUM('Beef Enteric inventory'!C27:I27)*1000)*1000000</f>
        <v>1.8378870300654178</v>
      </c>
      <c r="C27" s="28">
        <f>'Beef Manure Inventory'!AL27/(SUM('Beef Enteric inventory'!C27:I27)*1000)*1000000</f>
        <v>0.12393773427994198</v>
      </c>
      <c r="D27" s="29">
        <f t="shared" si="0"/>
        <v>1.9618247643453597</v>
      </c>
      <c r="E27" s="30">
        <f>'Dairy Enteric Inventory'!Q29/SUM('Dairy Enteric Inventory'!C29:F29)*1000000</f>
        <v>2.6944306333315176</v>
      </c>
      <c r="F27" s="28">
        <f>'Dairy Manure Inventory'!AQ27/SUM('Dairy Enteric Inventory'!C29:F29)*1000000</f>
        <v>1.5093759977224619</v>
      </c>
      <c r="G27" s="29">
        <f t="shared" si="1"/>
        <v>4.203806631053979</v>
      </c>
      <c r="H27" s="47"/>
      <c r="I27" s="47"/>
    </row>
    <row r="28" spans="1:9" ht="15" customHeight="1">
      <c r="A28" s="31" t="s">
        <v>61</v>
      </c>
      <c r="B28" s="27">
        <f>'Beef Enteric inventory'!AF28/(SUM('Beef Enteric inventory'!C28:I28)*1000)*1000000</f>
        <v>1.9477929636486775</v>
      </c>
      <c r="C28" s="28">
        <f>'Beef Manure Inventory'!AL28/(SUM('Beef Enteric inventory'!C28:I28)*1000)*1000000</f>
        <v>0.11108542085280344</v>
      </c>
      <c r="D28" s="29">
        <f t="shared" si="0"/>
        <v>2.0588783845014809</v>
      </c>
      <c r="E28" s="30">
        <f>'Dairy Enteric Inventory'!Q30/SUM('Dairy Enteric Inventory'!C30:F30)*1000000</f>
        <v>2.7580748962191599</v>
      </c>
      <c r="F28" s="28">
        <f>'Dairy Manure Inventory'!AQ28/SUM('Dairy Enteric Inventory'!C30:F30)*1000000</f>
        <v>2.2268885616164855</v>
      </c>
      <c r="G28" s="29">
        <f t="shared" si="1"/>
        <v>4.9849634578356454</v>
      </c>
      <c r="H28" s="47"/>
      <c r="I28" s="47"/>
    </row>
    <row r="29" spans="1:9" ht="15" customHeight="1">
      <c r="A29" s="31" t="s">
        <v>62</v>
      </c>
      <c r="B29" s="27">
        <f>'Beef Enteric inventory'!AF29/(SUM('Beef Enteric inventory'!C29:I29)*1000)*1000000</f>
        <v>1.8382852008728017</v>
      </c>
      <c r="C29" s="28">
        <f>'Beef Manure Inventory'!AL29/(SUM('Beef Enteric inventory'!C29:I29)*1000)*1000000</f>
        <v>0.12371234729413916</v>
      </c>
      <c r="D29" s="29">
        <f t="shared" si="0"/>
        <v>1.9619975481669409</v>
      </c>
      <c r="E29" s="30">
        <f>'Dairy Enteric Inventory'!Q31/SUM('Dairy Enteric Inventory'!C31:F31)*1000000</f>
        <v>2.6671248565391266</v>
      </c>
      <c r="F29" s="28">
        <f>'Dairy Manure Inventory'!AQ29/SUM('Dairy Enteric Inventory'!C31:F31)*1000000</f>
        <v>1.9810881948621601</v>
      </c>
      <c r="G29" s="29">
        <f t="shared" si="1"/>
        <v>4.6482130514012869</v>
      </c>
      <c r="H29" s="47"/>
      <c r="I29" s="47"/>
    </row>
    <row r="30" spans="1:9" ht="15" customHeight="1">
      <c r="A30" s="31" t="s">
        <v>63</v>
      </c>
      <c r="B30" s="27">
        <f>'Beef Enteric inventory'!AF30/(SUM('Beef Enteric inventory'!C30:I30)*1000)*1000000</f>
        <v>1.7639757881330338</v>
      </c>
      <c r="C30" s="28">
        <f>'Beef Manure Inventory'!AL30/(SUM('Beef Enteric inventory'!C30:I30)*1000)*1000000</f>
        <v>0.12928031014112568</v>
      </c>
      <c r="D30" s="29">
        <f t="shared" si="0"/>
        <v>1.8932560982741595</v>
      </c>
      <c r="E30" s="30">
        <f>'Dairy Enteric Inventory'!Q32/SUM('Dairy Enteric Inventory'!C32:F32)*1000000</f>
        <v>2.6072338648005164</v>
      </c>
      <c r="F30" s="28">
        <f>'Dairy Manure Inventory'!AQ30/SUM('Dairy Enteric Inventory'!C32:F32)*1000000</f>
        <v>2.4147935658723765</v>
      </c>
      <c r="G30" s="29">
        <f t="shared" si="1"/>
        <v>5.0220274306728925</v>
      </c>
      <c r="H30" s="47"/>
      <c r="I30" s="47"/>
    </row>
    <row r="31" spans="1:9" ht="15" customHeight="1">
      <c r="A31" s="31" t="s">
        <v>64</v>
      </c>
      <c r="B31" s="27">
        <f>'Beef Enteric inventory'!AF31/(SUM('Beef Enteric inventory'!C31:I31)*1000)*1000000</f>
        <v>1.4402953996866426</v>
      </c>
      <c r="C31" s="28">
        <f>'Beef Manure Inventory'!AL31/(SUM('Beef Enteric inventory'!C31:I31)*1000)*1000000</f>
        <v>0.20280549863184114</v>
      </c>
      <c r="D31" s="29">
        <f t="shared" si="0"/>
        <v>1.6431008983184836</v>
      </c>
      <c r="E31" s="30">
        <f>'Dairy Enteric Inventory'!Q33/SUM('Dairy Enteric Inventory'!C33:F33)*1000000</f>
        <v>2.6409987377045985</v>
      </c>
      <c r="F31" s="28">
        <f>'Dairy Manure Inventory'!AQ31/SUM('Dairy Enteric Inventory'!C33:F33)*1000000</f>
        <v>3.106658652863449</v>
      </c>
      <c r="G31" s="29">
        <f t="shared" si="1"/>
        <v>5.7476573905680475</v>
      </c>
      <c r="H31" s="47"/>
      <c r="I31" s="47"/>
    </row>
    <row r="32" spans="1:9" ht="15" customHeight="1">
      <c r="A32" s="31" t="s">
        <v>65</v>
      </c>
      <c r="B32" s="27">
        <f>'Beef Enteric inventory'!AF32/(SUM('Beef Enteric inventory'!C32:I32)*1000)*1000000</f>
        <v>1.7088050314465408</v>
      </c>
      <c r="C32" s="28">
        <f>'Beef Manure Inventory'!AL32/(SUM('Beef Enteric inventory'!C32:I32)*1000)*1000000</f>
        <v>0.1218971523812</v>
      </c>
      <c r="D32" s="29">
        <f t="shared" si="0"/>
        <v>1.8307021838277409</v>
      </c>
      <c r="E32" s="30">
        <f>'Dairy Enteric Inventory'!Q34/SUM('Dairy Enteric Inventory'!C34:F34)*1000000</f>
        <v>2.5903667153107577</v>
      </c>
      <c r="F32" s="28">
        <f>'Dairy Manure Inventory'!AQ32/SUM('Dairy Enteric Inventory'!C34:F34)*1000000</f>
        <v>1.5754783381757254</v>
      </c>
      <c r="G32" s="29">
        <f t="shared" si="1"/>
        <v>4.1658450534864828</v>
      </c>
      <c r="H32" s="47"/>
      <c r="I32" s="47"/>
    </row>
    <row r="33" spans="1:9" ht="15" customHeight="1">
      <c r="A33" s="31" t="s">
        <v>66</v>
      </c>
      <c r="B33" s="27">
        <f>'Beef Enteric inventory'!AF33/(SUM('Beef Enteric inventory'!C33:I33)*1000)*1000000</f>
        <v>1.7587700908455624</v>
      </c>
      <c r="C33" s="28">
        <f>'Beef Manure Inventory'!AL33/(SUM('Beef Enteric inventory'!C33:I33)*1000)*1000000</f>
        <v>0.11977644090507936</v>
      </c>
      <c r="D33" s="29">
        <f t="shared" si="0"/>
        <v>1.8785465317506418</v>
      </c>
      <c r="E33" s="30">
        <f>'Dairy Enteric Inventory'!Q35/SUM('Dairy Enteric Inventory'!C35:F35)*1000000</f>
        <v>2.7296762015227944</v>
      </c>
      <c r="F33" s="28">
        <f>'Dairy Manure Inventory'!AQ33/SUM('Dairy Enteric Inventory'!C35:F35)*1000000</f>
        <v>1.6102475682368049</v>
      </c>
      <c r="G33" s="29">
        <f t="shared" si="1"/>
        <v>4.3399237697595989</v>
      </c>
      <c r="H33" s="47"/>
      <c r="I33" s="47"/>
    </row>
    <row r="34" spans="1:9" ht="15" customHeight="1">
      <c r="A34" s="31" t="s">
        <v>67</v>
      </c>
      <c r="B34" s="27">
        <f>'Beef Enteric inventory'!AF34/(SUM('Beef Enteric inventory'!C34:I34)*1000)*1000000</f>
        <v>1.9460531732418527</v>
      </c>
      <c r="C34" s="28">
        <f>'Beef Manure Inventory'!AL34/(SUM('Beef Enteric inventory'!C34:I34)*1000)*1000000</f>
        <v>0.10973541886790363</v>
      </c>
      <c r="D34" s="29">
        <f t="shared" si="0"/>
        <v>2.0557885921097565</v>
      </c>
      <c r="E34" s="30">
        <f>'Dairy Enteric Inventory'!Q36/SUM('Dairy Enteric Inventory'!C36:F36)*1000000</f>
        <v>2.6989279079836073</v>
      </c>
      <c r="F34" s="28">
        <f>'Dairy Manure Inventory'!AQ34/SUM('Dairy Enteric Inventory'!C36:F36)*1000000</f>
        <v>2.3313422408666038</v>
      </c>
      <c r="G34" s="29">
        <f t="shared" si="1"/>
        <v>5.0302701488502111</v>
      </c>
      <c r="H34" s="47"/>
      <c r="I34" s="47"/>
    </row>
    <row r="35" spans="1:9" ht="15" customHeight="1">
      <c r="A35" s="31" t="s">
        <v>68</v>
      </c>
      <c r="B35" s="27">
        <f>'Beef Enteric inventory'!AF35/(SUM('Beef Enteric inventory'!C35:I35)*1000)*1000000</f>
        <v>1.9636047368122842</v>
      </c>
      <c r="C35" s="28">
        <f>'Beef Manure Inventory'!AL35/(SUM('Beef Enteric inventory'!C35:I35)*1000)*1000000</f>
        <v>0.1075465134789982</v>
      </c>
      <c r="D35" s="29">
        <f t="shared" si="0"/>
        <v>2.0711512502912823</v>
      </c>
      <c r="E35" s="30">
        <f>'Dairy Enteric Inventory'!Q37/SUM('Dairy Enteric Inventory'!C37:F37)*1000000</f>
        <v>2.7365319917056334</v>
      </c>
      <c r="F35" s="28">
        <f>'Dairy Manure Inventory'!AQ35/SUM('Dairy Enteric Inventory'!C37:F37)*1000000</f>
        <v>3.9045609935550116</v>
      </c>
      <c r="G35" s="29">
        <f t="shared" si="1"/>
        <v>6.6410929852606451</v>
      </c>
      <c r="H35" s="47"/>
      <c r="I35" s="47"/>
    </row>
    <row r="36" spans="1:9" ht="15" customHeight="1">
      <c r="A36" s="31" t="s">
        <v>69</v>
      </c>
      <c r="B36" s="27">
        <f>'Beef Enteric inventory'!AF36/(SUM('Beef Enteric inventory'!C36:I36)*1000)*1000000</f>
        <v>1.592622845402218</v>
      </c>
      <c r="C36" s="28">
        <f>'Beef Manure Inventory'!AL36/(SUM('Beef Enteric inventory'!C36:I36)*1000)*1000000</f>
        <v>0.17030416082249922</v>
      </c>
      <c r="D36" s="29">
        <f t="shared" si="0"/>
        <v>1.7629270062247171</v>
      </c>
      <c r="E36" s="30">
        <f>'Dairy Enteric Inventory'!Q38/SUM('Dairy Enteric Inventory'!C38:F38)*1000000</f>
        <v>2.6686044593307301</v>
      </c>
      <c r="F36" s="28">
        <f>'Dairy Manure Inventory'!AQ36/SUM('Dairy Enteric Inventory'!C38:F38)*1000000</f>
        <v>2.2941598604787452</v>
      </c>
      <c r="G36" s="29">
        <f t="shared" si="1"/>
        <v>4.9627643198094749</v>
      </c>
      <c r="H36" s="47"/>
      <c r="I36" s="47"/>
    </row>
    <row r="37" spans="1:9" ht="15" customHeight="1">
      <c r="A37" s="31" t="s">
        <v>70</v>
      </c>
      <c r="B37" s="27">
        <f>'Beef Enteric inventory'!AF37/(SUM('Beef Enteric inventory'!C37:I37)*1000)*1000000</f>
        <v>1.7488403809268922</v>
      </c>
      <c r="C37" s="28">
        <f>'Beef Manure Inventory'!AL37/(SUM('Beef Enteric inventory'!C37:I37)*1000)*1000000</f>
        <v>0.14008995647165157</v>
      </c>
      <c r="D37" s="29">
        <f t="shared" si="0"/>
        <v>1.8889303373985438</v>
      </c>
      <c r="E37" s="30">
        <f>'Dairy Enteric Inventory'!Q39/SUM('Dairy Enteric Inventory'!C39:F39)*1000000</f>
        <v>2.6587495808689785</v>
      </c>
      <c r="F37" s="28">
        <f>'Dairy Manure Inventory'!AQ37/SUM('Dairy Enteric Inventory'!C39:F39)*1000000</f>
        <v>1.853289861719621</v>
      </c>
      <c r="G37" s="29">
        <f t="shared" si="1"/>
        <v>4.5120394425885992</v>
      </c>
      <c r="H37" s="47"/>
      <c r="I37" s="47"/>
    </row>
    <row r="38" spans="1:9" ht="15" customHeight="1">
      <c r="A38" s="31" t="s">
        <v>71</v>
      </c>
      <c r="B38" s="27">
        <f>'Beef Enteric inventory'!AF38/(SUM('Beef Enteric inventory'!C38:I38)*1000)*1000000</f>
        <v>1.8645486194340763</v>
      </c>
      <c r="C38" s="28">
        <f>'Beef Manure Inventory'!AL38/(SUM('Beef Enteric inventory'!C38:I38)*1000)*1000000</f>
        <v>0.12761317291454727</v>
      </c>
      <c r="D38" s="29">
        <f t="shared" si="0"/>
        <v>1.9921617923486237</v>
      </c>
      <c r="E38" s="30">
        <f>'Dairy Enteric Inventory'!Q40/SUM('Dairy Enteric Inventory'!C40:F40)*1000000</f>
        <v>2.6254032588986833</v>
      </c>
      <c r="F38" s="28">
        <f>'Dairy Manure Inventory'!AQ38/SUM('Dairy Enteric Inventory'!C40:F40)*1000000</f>
        <v>2.432247558209391</v>
      </c>
      <c r="G38" s="29">
        <f t="shared" si="1"/>
        <v>5.0576508171080743</v>
      </c>
      <c r="H38" s="47"/>
      <c r="I38" s="47"/>
    </row>
    <row r="39" spans="1:9" ht="15" customHeight="1">
      <c r="A39" s="31" t="s">
        <v>72</v>
      </c>
      <c r="B39" s="27">
        <f>'Beef Enteric inventory'!AF39/(SUM('Beef Enteric inventory'!C39:I39)*1000)*1000000</f>
        <v>1.6527814686863318</v>
      </c>
      <c r="C39" s="28">
        <f>'Beef Manure Inventory'!AL39/(SUM('Beef Enteric inventory'!C39:I39)*1000)*1000000</f>
        <v>0.1633994213467968</v>
      </c>
      <c r="D39" s="29">
        <f t="shared" si="0"/>
        <v>1.8161808900331287</v>
      </c>
      <c r="E39" s="30">
        <f>'Dairy Enteric Inventory'!Q41/SUM('Dairy Enteric Inventory'!C41:F41)*1000000</f>
        <v>2.5925791241427287</v>
      </c>
      <c r="F39" s="28">
        <f>'Dairy Manure Inventory'!AQ39/SUM('Dairy Enteric Inventory'!C41:F41)*1000000</f>
        <v>1.5996773935961552</v>
      </c>
      <c r="G39" s="29">
        <f t="shared" si="1"/>
        <v>4.1922565177388842</v>
      </c>
      <c r="H39" s="47"/>
      <c r="I39" s="47"/>
    </row>
    <row r="40" spans="1:9" ht="15" customHeight="1">
      <c r="A40" s="31" t="s">
        <v>73</v>
      </c>
      <c r="B40" s="27">
        <f>'Beef Enteric inventory'!AF40/(SUM('Beef Enteric inventory'!C40:I40)*1000)*1000000</f>
        <v>1.6679245283018869</v>
      </c>
      <c r="C40" s="28">
        <f>'Beef Manure Inventory'!AL40/(SUM('Beef Enteric inventory'!C40:I40)*1000)*1000000</f>
        <v>9.2271401113257143E-2</v>
      </c>
      <c r="D40" s="29">
        <f t="shared" si="0"/>
        <v>1.7601959294151439</v>
      </c>
      <c r="E40" s="30">
        <f>'Dairy Enteric Inventory'!Q42/SUM('Dairy Enteric Inventory'!C42:F42)*1000000</f>
        <v>4.188622793938853</v>
      </c>
      <c r="F40" s="28">
        <f>'Dairy Manure Inventory'!AQ40/SUM('Dairy Enteric Inventory'!C42:F42)*1000000</f>
        <v>2.7659134770280001</v>
      </c>
      <c r="G40" s="29">
        <f t="shared" si="1"/>
        <v>6.9545362709668535</v>
      </c>
      <c r="H40" s="47"/>
      <c r="I40" s="47"/>
    </row>
    <row r="41" spans="1:9" ht="15" customHeight="1">
      <c r="A41" s="31" t="s">
        <v>74</v>
      </c>
      <c r="B41" s="27">
        <f>'Beef Enteric inventory'!AF41/(SUM('Beef Enteric inventory'!C41:I41)*1000)*1000000</f>
        <v>1.8382473239201964</v>
      </c>
      <c r="C41" s="28">
        <f>'Beef Manure Inventory'!AL41/(SUM('Beef Enteric inventory'!C41:I41)*1000)*1000000</f>
        <v>0.12357655549225656</v>
      </c>
      <c r="D41" s="29">
        <f t="shared" si="0"/>
        <v>1.961823879412453</v>
      </c>
      <c r="E41" s="30">
        <f>'Dairy Enteric Inventory'!Q43/SUM('Dairy Enteric Inventory'!C43:F43)*1000000</f>
        <v>2.71764788548104</v>
      </c>
      <c r="F41" s="28">
        <f>'Dairy Manure Inventory'!AQ41/SUM('Dairy Enteric Inventory'!C43:F43)*1000000</f>
        <v>2.1004172306714222</v>
      </c>
      <c r="G41" s="29">
        <f t="shared" si="1"/>
        <v>4.8180651161524626</v>
      </c>
      <c r="H41" s="47"/>
      <c r="I41" s="47"/>
    </row>
    <row r="42" spans="1:9" ht="15" customHeight="1">
      <c r="A42" s="31" t="s">
        <v>75</v>
      </c>
      <c r="B42" s="27">
        <f>'Beef Enteric inventory'!AF42/(SUM('Beef Enteric inventory'!C42:I42)*1000)*1000000</f>
        <v>1.681190189443903</v>
      </c>
      <c r="C42" s="28">
        <f>'Beef Manure Inventory'!AL42/(SUM('Beef Enteric inventory'!C42:I42)*1000)*1000000</f>
        <v>0.14919022686861425</v>
      </c>
      <c r="D42" s="29">
        <f t="shared" si="0"/>
        <v>1.8303804163125172</v>
      </c>
      <c r="E42" s="30">
        <f>'Dairy Enteric Inventory'!Q44/SUM('Dairy Enteric Inventory'!C44:F44)*1000000</f>
        <v>2.7210568086510811</v>
      </c>
      <c r="F42" s="28">
        <f>'Dairy Manure Inventory'!AQ42/SUM('Dairy Enteric Inventory'!C44:F44)*1000000</f>
        <v>3.2399215735876381</v>
      </c>
      <c r="G42" s="29">
        <f t="shared" si="1"/>
        <v>5.9609783822387197</v>
      </c>
      <c r="H42" s="47"/>
      <c r="I42" s="47"/>
    </row>
    <row r="43" spans="1:9" ht="15" customHeight="1">
      <c r="A43" s="31" t="s">
        <v>76</v>
      </c>
      <c r="B43" s="27">
        <f>'Beef Enteric inventory'!AF43/(SUM('Beef Enteric inventory'!C43:I43)*1000)*1000000</f>
        <v>1.8291196154469525</v>
      </c>
      <c r="C43" s="28">
        <f>'Beef Manure Inventory'!AL43/(SUM('Beef Enteric inventory'!C43:I43)*1000)*1000000</f>
        <v>0.12415051386854027</v>
      </c>
      <c r="D43" s="29">
        <f t="shared" si="0"/>
        <v>1.9532701293154928</v>
      </c>
      <c r="E43" s="30">
        <f>'Dairy Enteric Inventory'!Q45/SUM('Dairy Enteric Inventory'!C45:F45)*1000000</f>
        <v>2.5184693698827703</v>
      </c>
      <c r="F43" s="28">
        <f>'Dairy Manure Inventory'!AQ43/SUM('Dairy Enteric Inventory'!C45:F45)*1000000</f>
        <v>1.4005412481399981</v>
      </c>
      <c r="G43" s="29">
        <f t="shared" si="1"/>
        <v>3.9190106180227682</v>
      </c>
      <c r="H43" s="47"/>
      <c r="I43" s="47"/>
    </row>
    <row r="44" spans="1:9" ht="15" customHeight="1">
      <c r="A44" s="31" t="s">
        <v>77</v>
      </c>
      <c r="B44" s="27">
        <f>'Beef Enteric inventory'!AF44/(SUM('Beef Enteric inventory'!C44:I44)*1000)*1000000</f>
        <v>1.5961306657555396</v>
      </c>
      <c r="C44" s="28">
        <f>'Beef Manure Inventory'!AL44/(SUM('Beef Enteric inventory'!C44:I44)*1000)*1000000</f>
        <v>0.18146672821000764</v>
      </c>
      <c r="D44" s="29">
        <f t="shared" si="0"/>
        <v>1.7775973939655474</v>
      </c>
      <c r="E44" s="30">
        <f>'Dairy Enteric Inventory'!Q46/SUM('Dairy Enteric Inventory'!C46:F46)*1000000</f>
        <v>2.658865704424846</v>
      </c>
      <c r="F44" s="28">
        <f>'Dairy Manure Inventory'!AQ44/SUM('Dairy Enteric Inventory'!C46:F46)*1000000</f>
        <v>2.3784898667357521</v>
      </c>
      <c r="G44" s="29">
        <f t="shared" si="1"/>
        <v>5.0373555711605977</v>
      </c>
      <c r="H44" s="47"/>
      <c r="I44" s="47"/>
    </row>
    <row r="45" spans="1:9" ht="15" customHeight="1">
      <c r="A45" s="31" t="s">
        <v>78</v>
      </c>
      <c r="B45" s="27">
        <f>'Beef Enteric inventory'!AF45/(SUM('Beef Enteric inventory'!C45:I45)*1000)*1000000</f>
        <v>1.9221953417251456</v>
      </c>
      <c r="C45" s="28">
        <f>'Beef Manure Inventory'!AL45/(SUM('Beef Enteric inventory'!C45:I45)*1000)*1000000</f>
        <v>0.11377315596982726</v>
      </c>
      <c r="D45" s="29">
        <f t="shared" si="0"/>
        <v>2.0359684976949728</v>
      </c>
      <c r="E45" s="30">
        <f>'Dairy Enteric Inventory'!Q47/SUM('Dairy Enteric Inventory'!C47:F47)*1000000</f>
        <v>2.6369566256535055</v>
      </c>
      <c r="F45" s="28">
        <f>'Dairy Manure Inventory'!AQ45/SUM('Dairy Enteric Inventory'!C47:F47)*1000000</f>
        <v>1.955226425542101</v>
      </c>
      <c r="G45" s="29">
        <f t="shared" si="1"/>
        <v>4.5921830511956063</v>
      </c>
      <c r="H45" s="47"/>
      <c r="I45" s="47"/>
    </row>
    <row r="46" spans="1:9" ht="15" customHeight="1">
      <c r="A46" s="31" t="s">
        <v>79</v>
      </c>
      <c r="B46" s="27">
        <f>'Beef Enteric inventory'!AF46/(SUM('Beef Enteric inventory'!C46:I46)*1000)*1000000</f>
        <v>1.8195210832876985</v>
      </c>
      <c r="C46" s="28">
        <f>'Beef Manure Inventory'!AL46/(SUM('Beef Enteric inventory'!C46:I46)*1000)*1000000</f>
        <v>0.1248685708218544</v>
      </c>
      <c r="D46" s="29">
        <f t="shared" si="0"/>
        <v>1.9443896541095529</v>
      </c>
      <c r="E46" s="30">
        <f>'Dairy Enteric Inventory'!Q48/SUM('Dairy Enteric Inventory'!C48:F48)*1000000</f>
        <v>2.6577490165759214</v>
      </c>
      <c r="F46" s="28">
        <f>'Dairy Manure Inventory'!AQ46/SUM('Dairy Enteric Inventory'!C48:F48)*1000000</f>
        <v>1.6395188416951518</v>
      </c>
      <c r="G46" s="29">
        <f t="shared" si="1"/>
        <v>4.2972678582710735</v>
      </c>
      <c r="H46" s="47"/>
      <c r="I46" s="47"/>
    </row>
    <row r="47" spans="1:9" ht="15" customHeight="1">
      <c r="A47" s="31" t="s">
        <v>80</v>
      </c>
      <c r="B47" s="27">
        <f>'Beef Enteric inventory'!AF47/(SUM('Beef Enteric inventory'!C47:I47)*1000)*1000000</f>
        <v>1.751828236824984</v>
      </c>
      <c r="C47" s="28">
        <f>'Beef Manure Inventory'!AL47/(SUM('Beef Enteric inventory'!C47:I47)*1000)*1000000</f>
        <v>0.13435884655153496</v>
      </c>
      <c r="D47" s="29">
        <f t="shared" si="0"/>
        <v>1.8861870833765191</v>
      </c>
      <c r="E47" s="30">
        <f>'Dairy Enteric Inventory'!Q49/SUM('Dairy Enteric Inventory'!C49:F49)*1000000</f>
        <v>2.7077644035041484</v>
      </c>
      <c r="F47" s="28">
        <f>'Dairy Manure Inventory'!AQ47/SUM('Dairy Enteric Inventory'!C49:F49)*1000000</f>
        <v>2.1873100215048744</v>
      </c>
      <c r="G47" s="29">
        <f t="shared" si="1"/>
        <v>4.8950744250090228</v>
      </c>
      <c r="H47" s="47"/>
      <c r="I47" s="47"/>
    </row>
    <row r="48" spans="1:9" ht="15" customHeight="1">
      <c r="A48" s="31" t="s">
        <v>81</v>
      </c>
      <c r="B48" s="27">
        <f>'Beef Enteric inventory'!AF48/(SUM('Beef Enteric inventory'!C48:I48)*1000)*1000000</f>
        <v>1.6122730215051184</v>
      </c>
      <c r="C48" s="28">
        <f>'Beef Manure Inventory'!AL48/(SUM('Beef Enteric inventory'!C48:I48)*1000)*1000000</f>
        <v>0.18226148873185957</v>
      </c>
      <c r="D48" s="29">
        <f t="shared" si="0"/>
        <v>1.7945345102369781</v>
      </c>
      <c r="E48" s="30">
        <f>'Dairy Enteric Inventory'!Q50/SUM('Dairy Enteric Inventory'!C50:F50)*1000000</f>
        <v>2.6800142780016389</v>
      </c>
      <c r="F48" s="28">
        <f>'Dairy Manure Inventory'!AQ48/SUM('Dairy Enteric Inventory'!C50:F50)*1000000</f>
        <v>2.85410776350736</v>
      </c>
      <c r="G48" s="29">
        <f t="shared" si="1"/>
        <v>5.5341220415089989</v>
      </c>
      <c r="H48" s="47"/>
      <c r="I48" s="47"/>
    </row>
    <row r="49" spans="1:9" ht="15" customHeight="1">
      <c r="A49" s="31" t="s">
        <v>82</v>
      </c>
      <c r="B49" s="27">
        <f>'Beef Enteric inventory'!AF49/(SUM('Beef Enteric inventory'!C49:I49)*1000)*1000000</f>
        <v>1.5249287427867471</v>
      </c>
      <c r="C49" s="28">
        <f>'Beef Manure Inventory'!AL49/(SUM('Beef Enteric inventory'!C49:I49)*1000)*1000000</f>
        <v>0.1816987272725914</v>
      </c>
      <c r="D49" s="29">
        <f t="shared" si="0"/>
        <v>1.7066274700593385</v>
      </c>
      <c r="E49" s="30">
        <f>'Dairy Enteric Inventory'!Q51/SUM('Dairy Enteric Inventory'!C51:F51)*1000000</f>
        <v>2.6135949556190727</v>
      </c>
      <c r="F49" s="28">
        <f>'Dairy Manure Inventory'!AQ49/SUM('Dairy Enteric Inventory'!C51:F51)*1000000</f>
        <v>2.038216016050288</v>
      </c>
      <c r="G49" s="29">
        <f t="shared" si="1"/>
        <v>4.6518109716693612</v>
      </c>
      <c r="H49" s="47"/>
      <c r="I49" s="47"/>
    </row>
    <row r="50" spans="1:9" ht="15" customHeight="1">
      <c r="A50" s="31" t="s">
        <v>83</v>
      </c>
      <c r="B50" s="27">
        <f>'Beef Enteric inventory'!AF50/(SUM('Beef Enteric inventory'!C50:I50)*1000)*1000000</f>
        <v>1.8353091221247004</v>
      </c>
      <c r="C50" s="28">
        <f>'Beef Manure Inventory'!AL50/(SUM('Beef Enteric inventory'!C50:I50)*1000)*1000000</f>
        <v>0.12558805390377331</v>
      </c>
      <c r="D50" s="29">
        <f t="shared" si="0"/>
        <v>1.9608971760284737</v>
      </c>
      <c r="E50" s="30">
        <f>'Dairy Enteric Inventory'!Q52/SUM('Dairy Enteric Inventory'!C52:F52)*1000000</f>
        <v>2.637357176643349</v>
      </c>
      <c r="F50" s="28">
        <f>'Dairy Manure Inventory'!AQ50/SUM('Dairy Enteric Inventory'!C52:F52)*1000000</f>
        <v>1.2356954916941991</v>
      </c>
      <c r="G50" s="29">
        <f t="shared" si="1"/>
        <v>3.8730526683375484</v>
      </c>
      <c r="H50" s="47"/>
      <c r="I50" s="47"/>
    </row>
    <row r="51" spans="1:9" ht="14">
      <c r="A51" s="31" t="s">
        <v>84</v>
      </c>
      <c r="B51" s="27">
        <f>'Beef Enteric inventory'!AF51/(SUM('Beef Enteric inventory'!C51:I51)*1000)*1000000</f>
        <v>1.9087991602394743</v>
      </c>
      <c r="C51" s="28">
        <f>'Beef Manure Inventory'!AL51/(SUM('Beef Enteric inventory'!C51:I51)*1000)*1000000</f>
        <v>0.11867062629333455</v>
      </c>
      <c r="D51" s="29">
        <f t="shared" si="0"/>
        <v>2.0274697865328086</v>
      </c>
      <c r="E51" s="30">
        <f>'Dairy Enteric Inventory'!Q53/SUM('Dairy Enteric Inventory'!C53:F53)*1000000</f>
        <v>2.5975384993671056</v>
      </c>
      <c r="F51" s="28">
        <f>'Dairy Manure Inventory'!AQ51/SUM('Dairy Enteric Inventory'!C53:F53)*1000000</f>
        <v>2.5280264541640927</v>
      </c>
      <c r="G51" s="29">
        <f t="shared" si="1"/>
        <v>5.1255649535311978</v>
      </c>
      <c r="H51" s="47"/>
      <c r="I51" s="47"/>
    </row>
    <row r="52" spans="1:9" ht="14">
      <c r="A52" s="55" t="s">
        <v>86</v>
      </c>
      <c r="B52" s="27">
        <f t="shared" ref="B52:G52" si="2">AVERAGE(B4:B51)</f>
        <v>1.7262203195312205</v>
      </c>
      <c r="C52" s="27">
        <f t="shared" si="2"/>
        <v>0.14641760885693705</v>
      </c>
      <c r="D52" s="27">
        <f t="shared" si="2"/>
        <v>1.8726379283881573</v>
      </c>
      <c r="E52" s="27">
        <f t="shared" si="2"/>
        <v>2.6854726499987027</v>
      </c>
      <c r="F52" s="27">
        <f t="shared" si="2"/>
        <v>2.2036949536887818</v>
      </c>
      <c r="G52" s="27">
        <f t="shared" si="2"/>
        <v>4.8891676036874854</v>
      </c>
    </row>
  </sheetData>
  <mergeCells count="2">
    <mergeCell ref="B1:D1"/>
    <mergeCell ref="E1:G1"/>
  </mergeCells>
  <conditionalFormatting sqref="D4:D51 D2">
    <cfRule type="colorScale" priority="1">
      <colorScale>
        <cfvo type="min"/>
        <cfvo type="max"/>
        <color rgb="FFFFFFFF"/>
        <color rgb="FFFFD666"/>
      </colorScale>
    </cfRule>
  </conditionalFormatting>
  <conditionalFormatting sqref="G4:G51 G2">
    <cfRule type="colorScale" priority="2">
      <colorScale>
        <cfvo type="min"/>
        <cfvo type="max"/>
        <color rgb="FFFFFFFF"/>
        <color rgb="FFFFD666"/>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3C47D"/>
    <outlinePr summaryBelow="0" summaryRight="0"/>
  </sheetPr>
  <dimension ref="A1:AF1000"/>
  <sheetViews>
    <sheetView workbookViewId="0">
      <pane xSplit="2" ySplit="3" topLeftCell="C4" activePane="bottomRight" state="frozen"/>
      <selection pane="topRight" activeCell="C1" sqref="C1"/>
      <selection pane="bottomLeft" activeCell="A4" sqref="A4"/>
      <selection pane="bottomRight" activeCell="C4" sqref="C4"/>
    </sheetView>
  </sheetViews>
  <sheetFormatPr baseColWidth="10" defaultColWidth="12.6640625" defaultRowHeight="15" customHeight="1"/>
  <cols>
    <col min="31" max="31" width="12.6640625" hidden="1"/>
  </cols>
  <sheetData>
    <row r="1" spans="1:32" ht="15.75" customHeight="1">
      <c r="A1" s="56"/>
      <c r="B1" s="57"/>
      <c r="C1" s="215" t="s">
        <v>87</v>
      </c>
      <c r="D1" s="212"/>
      <c r="E1" s="212"/>
      <c r="F1" s="212"/>
      <c r="G1" s="212"/>
      <c r="H1" s="212"/>
      <c r="I1" s="58"/>
      <c r="J1" s="216" t="s">
        <v>88</v>
      </c>
      <c r="K1" s="214"/>
      <c r="L1" s="214"/>
      <c r="M1" s="214"/>
      <c r="N1" s="214"/>
      <c r="O1" s="214"/>
      <c r="P1" s="217"/>
      <c r="Q1" s="218" t="s">
        <v>89</v>
      </c>
      <c r="R1" s="212"/>
      <c r="S1" s="212"/>
      <c r="T1" s="212"/>
      <c r="U1" s="212"/>
      <c r="V1" s="212"/>
      <c r="W1" s="212"/>
      <c r="X1" s="219" t="s">
        <v>90</v>
      </c>
      <c r="Y1" s="214"/>
      <c r="Z1" s="214"/>
      <c r="AA1" s="214"/>
      <c r="AB1" s="214"/>
      <c r="AC1" s="214"/>
      <c r="AD1" s="214"/>
      <c r="AE1" s="214"/>
      <c r="AF1" s="217"/>
    </row>
    <row r="2" spans="1:32" ht="122.25" customHeight="1">
      <c r="A2" s="56" t="s">
        <v>31</v>
      </c>
      <c r="B2" s="60" t="s">
        <v>91</v>
      </c>
      <c r="C2" s="14" t="str">
        <f>'Beef Animal Numbers'!C2</f>
        <v># Beef Calves (1000 head)</v>
      </c>
      <c r="D2" s="14" t="str">
        <f>'Beef Animal Numbers'!D2</f>
        <v># Beef Cows (1000 head)</v>
      </c>
      <c r="E2" s="14" t="str">
        <f>'Beef Animal Numbers'!F2</f>
        <v>Beef Replacement Heifers (7-11 mos, 1000 head)</v>
      </c>
      <c r="F2" s="14" t="str">
        <f>'Beef Animal Numbers'!G2</f>
        <v>Beef Replacement Heifers (12-23 mos, 1000 head)</v>
      </c>
      <c r="G2" s="14" t="str">
        <f>'Beef Animal Numbers'!H2</f>
        <v>Steer Stockers (1000 head)</v>
      </c>
      <c r="H2" s="14" t="str">
        <f>'Beef Animal Numbers'!I2</f>
        <v>Heifer Stockers (1000 head)</v>
      </c>
      <c r="I2" s="14" t="str">
        <f>'Beef Animal Numbers'!E2</f>
        <v>Feedlot (1000 head)</v>
      </c>
      <c r="J2" s="56" t="s">
        <v>92</v>
      </c>
      <c r="K2" s="60" t="s">
        <v>93</v>
      </c>
      <c r="L2" s="60" t="s">
        <v>94</v>
      </c>
      <c r="M2" s="60" t="s">
        <v>95</v>
      </c>
      <c r="N2" s="60" t="s">
        <v>96</v>
      </c>
      <c r="O2" s="60" t="s">
        <v>97</v>
      </c>
      <c r="P2" s="57" t="s">
        <v>98</v>
      </c>
      <c r="Q2" s="56" t="s">
        <v>92</v>
      </c>
      <c r="R2" s="60" t="s">
        <v>93</v>
      </c>
      <c r="S2" s="60" t="s">
        <v>94</v>
      </c>
      <c r="T2" s="60" t="s">
        <v>95</v>
      </c>
      <c r="U2" s="60" t="s">
        <v>96</v>
      </c>
      <c r="V2" s="60" t="s">
        <v>97</v>
      </c>
      <c r="W2" s="57" t="s">
        <v>98</v>
      </c>
      <c r="X2" s="61" t="s">
        <v>92</v>
      </c>
      <c r="Y2" s="62" t="s">
        <v>93</v>
      </c>
      <c r="Z2" s="62" t="s">
        <v>94</v>
      </c>
      <c r="AA2" s="62" t="s">
        <v>95</v>
      </c>
      <c r="AB2" s="62" t="s">
        <v>96</v>
      </c>
      <c r="AC2" s="62" t="s">
        <v>97</v>
      </c>
      <c r="AD2" s="63" t="s">
        <v>98</v>
      </c>
      <c r="AE2" s="14" t="s">
        <v>99</v>
      </c>
      <c r="AF2" s="64" t="s">
        <v>100</v>
      </c>
    </row>
    <row r="3" spans="1:32" ht="27" customHeight="1">
      <c r="A3" s="65"/>
      <c r="B3" s="66" t="s">
        <v>101</v>
      </c>
      <c r="C3" s="67" t="s">
        <v>102</v>
      </c>
      <c r="D3" s="67" t="s">
        <v>102</v>
      </c>
      <c r="E3" s="67" t="s">
        <v>102</v>
      </c>
      <c r="F3" s="67" t="s">
        <v>102</v>
      </c>
      <c r="G3" s="67" t="s">
        <v>102</v>
      </c>
      <c r="H3" s="67" t="s">
        <v>102</v>
      </c>
      <c r="I3" s="67" t="s">
        <v>102</v>
      </c>
      <c r="J3" s="68"/>
      <c r="K3" s="69"/>
      <c r="L3" s="70"/>
      <c r="M3" s="70"/>
      <c r="N3" s="70"/>
      <c r="O3" s="70"/>
      <c r="P3" s="71"/>
      <c r="Q3" s="72" t="s">
        <v>103</v>
      </c>
      <c r="R3" s="72" t="s">
        <v>103</v>
      </c>
      <c r="S3" s="72" t="s">
        <v>103</v>
      </c>
      <c r="T3" s="72" t="s">
        <v>103</v>
      </c>
      <c r="U3" s="72" t="s">
        <v>103</v>
      </c>
      <c r="V3" s="72" t="s">
        <v>103</v>
      </c>
      <c r="W3" s="72" t="s">
        <v>103</v>
      </c>
      <c r="X3" s="73" t="s">
        <v>36</v>
      </c>
      <c r="Y3" s="73" t="s">
        <v>36</v>
      </c>
      <c r="Z3" s="73" t="s">
        <v>36</v>
      </c>
      <c r="AA3" s="73" t="s">
        <v>36</v>
      </c>
      <c r="AB3" s="73" t="s">
        <v>36</v>
      </c>
      <c r="AC3" s="73" t="s">
        <v>36</v>
      </c>
      <c r="AD3" s="73" t="s">
        <v>36</v>
      </c>
      <c r="AE3" s="74"/>
      <c r="AF3" s="75" t="s">
        <v>36</v>
      </c>
    </row>
    <row r="4" spans="1:32" ht="15.75" customHeight="1">
      <c r="A4" s="76" t="s">
        <v>37</v>
      </c>
      <c r="B4" s="33" t="s">
        <v>104</v>
      </c>
      <c r="C4" s="14">
        <f>VLOOKUP($A4,'Beef Animal Numbers'!$B$2:$I$54,2,FALSE)</f>
        <v>327</v>
      </c>
      <c r="D4" s="14">
        <f>VLOOKUP($A4,'Beef Animal Numbers'!$B$2:$I$54,3,FALSE)</f>
        <v>655</v>
      </c>
      <c r="E4" s="14">
        <f>VLOOKUP($A4,'Beef Animal Numbers'!$B$2:$I$54,5,FALSE)</f>
        <v>28</v>
      </c>
      <c r="F4" s="14">
        <f>VLOOKUP($A4,'Beef Animal Numbers'!$B$2:$I$54,6,FALSE)</f>
        <v>67</v>
      </c>
      <c r="G4" s="14">
        <f>VLOOKUP($A4,'Beef Animal Numbers'!$B$2:$I$54,7,FALSE)</f>
        <v>285</v>
      </c>
      <c r="H4" s="14">
        <f>VLOOKUP($A4,'Beef Animal Numbers'!$B$2:$I$54,8,FALSE)</f>
        <v>98</v>
      </c>
      <c r="I4" s="14">
        <f>VLOOKUP($A4,'Beef Animal Numbers'!$B$2:$I$54,4,FALSE)</f>
        <v>551</v>
      </c>
      <c r="J4" s="77">
        <f>( VLOOKUP($A4,'Beef diets'!$B$27:$J$76,2,FALSE)* 1000)/(C4*1000)</f>
        <v>9.6972477064220186</v>
      </c>
      <c r="K4" s="78">
        <f>( VLOOKUP($A4,'Beef diets'!$B$27:$J$76,3,FALSE)* 1000)/(D4*1000)</f>
        <v>85.931297709923669</v>
      </c>
      <c r="L4" s="78">
        <f>( VLOOKUP($A4,'Beef diets'!$B$27:$J$76,4,FALSE)* 1000)/(E4*1000)</f>
        <v>55.607142857142854</v>
      </c>
      <c r="M4" s="78">
        <f>( VLOOKUP($A4,'Beef diets'!$B$27:$J$76,5,FALSE)* 1000)/(F4*1000)</f>
        <v>63.791044776119406</v>
      </c>
      <c r="N4" s="78">
        <f>( VLOOKUP($A4,'Beef diets'!$B$27:$J$76,6,FALSE)* 1000)/(G4*1000)</f>
        <v>53.280701754385966</v>
      </c>
      <c r="O4" s="78">
        <f>( VLOOKUP($A4,'Beef diets'!$B$27:$J$76,7,FALSE)* 1000)/(H4*1000)</f>
        <v>55.387755102040813</v>
      </c>
      <c r="P4" s="79">
        <f>( VLOOKUP($A4,'Beef diets'!$B$27:$J$76,8,FALSE)* 1000)/(I4*1000)</f>
        <v>46.259528130671505</v>
      </c>
      <c r="Q4" s="50">
        <f t="shared" ref="Q4:V4" si="0">((J4* 0.065)/55.65) * 1000</f>
        <v>11.326524724482143</v>
      </c>
      <c r="R4" s="51">
        <f t="shared" si="0"/>
        <v>100.36899103584975</v>
      </c>
      <c r="S4" s="51">
        <f t="shared" si="0"/>
        <v>64.949942241047353</v>
      </c>
      <c r="T4" s="51">
        <f t="shared" si="0"/>
        <v>74.508857330597692</v>
      </c>
      <c r="U4" s="51">
        <f t="shared" si="0"/>
        <v>62.232625589130066</v>
      </c>
      <c r="V4" s="51">
        <f t="shared" si="0"/>
        <v>64.693694189265997</v>
      </c>
      <c r="W4" s="52">
        <f t="shared" ref="W4:W51" si="1">((P4* 0.039)/55.65) * 1000</f>
        <v>32.419076317990815</v>
      </c>
      <c r="X4" s="80">
        <f>((Q4*(C4*1000)) * 28)/1000000/1000</f>
        <v>0.1037056603773585</v>
      </c>
      <c r="Y4" s="80">
        <f t="shared" ref="Y4:AD4" si="2">((R4*(D4*1000) ) * 28)/1000000/1000</f>
        <v>1.8407672955974845</v>
      </c>
      <c r="Z4" s="80">
        <f t="shared" si="2"/>
        <v>5.0920754716981119E-2</v>
      </c>
      <c r="AA4" s="80">
        <f t="shared" si="2"/>
        <v>0.13977861635220126</v>
      </c>
      <c r="AB4" s="80">
        <f t="shared" si="2"/>
        <v>0.49661635220125788</v>
      </c>
      <c r="AC4" s="80">
        <f t="shared" si="2"/>
        <v>0.1775194968553459</v>
      </c>
      <c r="AD4" s="80">
        <f t="shared" si="2"/>
        <v>0.50016150943396231</v>
      </c>
      <c r="AE4" s="81" t="str">
        <f t="shared" ref="AE4:AE51" si="3">A4</f>
        <v>CA</v>
      </c>
      <c r="AF4" s="82">
        <f t="shared" ref="AF4:AF51" si="4">SUM(X4:AD4)</f>
        <v>3.3094696855345918</v>
      </c>
    </row>
    <row r="5" spans="1:32" ht="15.75" customHeight="1">
      <c r="A5" s="83" t="s">
        <v>38</v>
      </c>
      <c r="B5" s="33" t="s">
        <v>104</v>
      </c>
      <c r="C5" s="14">
        <f>VLOOKUP($A5,'Beef Animal Numbers'!$B$2:$I$54,2,FALSE)</f>
        <v>182</v>
      </c>
      <c r="D5" s="14">
        <f>VLOOKUP($A5,'Beef Animal Numbers'!$B$2:$I$54,3,FALSE)</f>
        <v>365</v>
      </c>
      <c r="E5" s="14">
        <f>VLOOKUP($A5,'Beef Animal Numbers'!$B$2:$I$54,5,FALSE)</f>
        <v>22</v>
      </c>
      <c r="F5" s="14">
        <f>VLOOKUP($A5,'Beef Animal Numbers'!$B$2:$I$54,6,FALSE)</f>
        <v>53</v>
      </c>
      <c r="G5" s="14">
        <f>VLOOKUP($A5,'Beef Animal Numbers'!$B$2:$I$54,7,FALSE)</f>
        <v>239</v>
      </c>
      <c r="H5" s="14">
        <f>VLOOKUP($A5,'Beef Animal Numbers'!$B$2:$I$54,8,FALSE)</f>
        <v>75</v>
      </c>
      <c r="I5" s="14">
        <f>VLOOKUP($A5,'Beef Animal Numbers'!$B$2:$I$54,4,FALSE)</f>
        <v>412</v>
      </c>
      <c r="J5" s="77">
        <f>( VLOOKUP($A5,'Beef diets'!$B$27:$J$76,2,FALSE)* 1000)/(C5*1000)</f>
        <v>8.208791208791208</v>
      </c>
      <c r="K5" s="78">
        <f>( VLOOKUP($A5,'Beef diets'!$B$27:$J$76,3,FALSE)* 1000)/(D5*1000)</f>
        <v>78.69315068493151</v>
      </c>
      <c r="L5" s="78">
        <f>( VLOOKUP($A5,'Beef diets'!$B$27:$J$76,4,FALSE)* 1000)/(E5*1000)</f>
        <v>50.590909090909093</v>
      </c>
      <c r="M5" s="78">
        <f>( VLOOKUP($A5,'Beef diets'!$B$27:$J$76,5,FALSE)* 1000)/(F5*1000)</f>
        <v>58.075471698113205</v>
      </c>
      <c r="N5" s="78">
        <f>( VLOOKUP($A5,'Beef diets'!$B$27:$J$76,6,FALSE)* 1000)/(G5*1000)</f>
        <v>48.26778242677824</v>
      </c>
      <c r="O5" s="78">
        <f>( VLOOKUP($A5,'Beef diets'!$B$27:$J$76,7,FALSE)* 1000)/(H5*1000)</f>
        <v>49.88</v>
      </c>
      <c r="P5" s="84">
        <f>( VLOOKUP($A5,'Beef diets'!$B$27:$J$76,8,FALSE)/(I5*1000) ) * 1000</f>
        <v>45.827669902912618</v>
      </c>
      <c r="Q5" s="50">
        <f t="shared" ref="Q5:V5" si="5">((J5* 0.065)/55.65) * 1000</f>
        <v>9.5879861378513667</v>
      </c>
      <c r="R5" s="51">
        <f t="shared" si="5"/>
        <v>91.914731258230887</v>
      </c>
      <c r="S5" s="51">
        <f t="shared" si="5"/>
        <v>59.090909090909093</v>
      </c>
      <c r="T5" s="51">
        <f t="shared" si="5"/>
        <v>67.832985810913897</v>
      </c>
      <c r="U5" s="51">
        <f t="shared" si="5"/>
        <v>56.377463750953929</v>
      </c>
      <c r="V5" s="51">
        <f t="shared" si="5"/>
        <v>58.26055705300989</v>
      </c>
      <c r="W5" s="52">
        <f t="shared" si="1"/>
        <v>32.116426347054663</v>
      </c>
      <c r="X5" s="80">
        <f t="shared" ref="X5:AD5" si="6">((Q5*(C5*1000) ) * 28)/1000000/1000</f>
        <v>4.8860377358490567E-2</v>
      </c>
      <c r="Y5" s="80">
        <f t="shared" si="6"/>
        <v>0.93936855345911963</v>
      </c>
      <c r="Z5" s="80">
        <f t="shared" si="6"/>
        <v>3.6400000000000002E-2</v>
      </c>
      <c r="AA5" s="80">
        <f t="shared" si="6"/>
        <v>0.10066415094339622</v>
      </c>
      <c r="AB5" s="80">
        <f t="shared" si="6"/>
        <v>0.37727798742138369</v>
      </c>
      <c r="AC5" s="80">
        <f t="shared" si="6"/>
        <v>0.12234716981132078</v>
      </c>
      <c r="AD5" s="80">
        <f t="shared" si="6"/>
        <v>0.37049509433962258</v>
      </c>
      <c r="AE5" s="85" t="str">
        <f t="shared" si="3"/>
        <v>MN</v>
      </c>
      <c r="AF5" s="82">
        <f t="shared" si="4"/>
        <v>1.9954133333333335</v>
      </c>
    </row>
    <row r="6" spans="1:32" ht="15.75" customHeight="1">
      <c r="A6" s="83" t="s">
        <v>39</v>
      </c>
      <c r="B6" s="33" t="s">
        <v>104</v>
      </c>
      <c r="C6" s="14">
        <f>VLOOKUP($A6,'Beef Animal Numbers'!$B$2:$I$54,2,FALSE)</f>
        <v>52</v>
      </c>
      <c r="D6" s="14">
        <f>VLOOKUP($A6,'Beef Animal Numbers'!$B$2:$I$54,3,FALSE)</f>
        <v>105</v>
      </c>
      <c r="E6" s="14">
        <f>VLOOKUP($A6,'Beef Animal Numbers'!$B$2:$I$54,5,FALSE)</f>
        <v>9</v>
      </c>
      <c r="F6" s="14">
        <f>VLOOKUP($A6,'Beef Animal Numbers'!$B$2:$I$54,6,FALSE)</f>
        <v>22</v>
      </c>
      <c r="G6" s="14">
        <f>VLOOKUP($A6,'Beef Animal Numbers'!$B$2:$I$54,7,FALSE)</f>
        <v>25</v>
      </c>
      <c r="H6" s="14">
        <f>VLOOKUP($A6,'Beef Animal Numbers'!$B$2:$I$54,8,FALSE)</f>
        <v>19</v>
      </c>
      <c r="I6" s="14">
        <f>VLOOKUP($A6,'Beef Animal Numbers'!$B$2:$I$54,4,FALSE)</f>
        <v>23</v>
      </c>
      <c r="J6" s="77">
        <f>( VLOOKUP($A6,'Beef diets'!$B$27:$J$76,2,FALSE)* 1000)/(C6*1000)</f>
        <v>9.0769230769230766</v>
      </c>
      <c r="K6" s="78">
        <f>( VLOOKUP($A6,'Beef diets'!$B$27:$J$76,3,FALSE)* 1000)/(D6*1000)</f>
        <v>80.714285714285708</v>
      </c>
      <c r="L6" s="78">
        <f>( VLOOKUP($A6,'Beef diets'!$B$27:$J$76,4,FALSE)* 1000)/(E6*1000)</f>
        <v>53.666666666666664</v>
      </c>
      <c r="M6" s="78">
        <f>( VLOOKUP($A6,'Beef diets'!$B$27:$J$76,5,FALSE)* 1000)/(F6*1000)</f>
        <v>60.545454545454547</v>
      </c>
      <c r="N6" s="78">
        <f>( VLOOKUP($A6,'Beef diets'!$B$27:$J$76,6,FALSE)* 1000)/(G6*1000)</f>
        <v>50.2</v>
      </c>
      <c r="O6" s="78">
        <f>( VLOOKUP($A6,'Beef diets'!$B$27:$J$76,7,FALSE)* 1000)/(H6*1000)</f>
        <v>50.631578947368418</v>
      </c>
      <c r="P6" s="84">
        <f>( VLOOKUP($A6,'Beef diets'!$B$27:$J$76,8,FALSE)/(I6*1000) ) * 1000</f>
        <v>45.130434782608695</v>
      </c>
      <c r="Q6" s="50">
        <f t="shared" ref="Q6:V6" si="7">((J6* 0.065)/55.65) * 1000</f>
        <v>10.601976639712488</v>
      </c>
      <c r="R6" s="51">
        <f t="shared" si="7"/>
        <v>94.275446027467581</v>
      </c>
      <c r="S6" s="51">
        <f t="shared" si="7"/>
        <v>62.683438155136272</v>
      </c>
      <c r="T6" s="51">
        <f t="shared" si="7"/>
        <v>70.717961283999031</v>
      </c>
      <c r="U6" s="51">
        <f t="shared" si="7"/>
        <v>58.634321653189581</v>
      </c>
      <c r="V6" s="51">
        <f t="shared" si="7"/>
        <v>59.138412067905612</v>
      </c>
      <c r="W6" s="52">
        <f t="shared" si="1"/>
        <v>31.627797960857851</v>
      </c>
      <c r="X6" s="80">
        <f t="shared" ref="X6:AD6" si="8">((Q6*(C6*1000) ) * 28)/1000000/1000</f>
        <v>1.543647798742138E-2</v>
      </c>
      <c r="Y6" s="80">
        <f t="shared" si="8"/>
        <v>0.27716981132075469</v>
      </c>
      <c r="Z6" s="80">
        <f t="shared" si="8"/>
        <v>1.5796226415094341E-2</v>
      </c>
      <c r="AA6" s="80">
        <f t="shared" si="8"/>
        <v>4.35622641509434E-2</v>
      </c>
      <c r="AB6" s="80">
        <f t="shared" si="8"/>
        <v>4.1044025157232711E-2</v>
      </c>
      <c r="AC6" s="80">
        <f t="shared" si="8"/>
        <v>3.146163522012578E-2</v>
      </c>
      <c r="AD6" s="80">
        <f t="shared" si="8"/>
        <v>2.0368301886792454E-2</v>
      </c>
      <c r="AE6" s="85" t="str">
        <f t="shared" si="3"/>
        <v>NY</v>
      </c>
      <c r="AF6" s="82">
        <f t="shared" si="4"/>
        <v>0.44483874213836472</v>
      </c>
    </row>
    <row r="7" spans="1:32" ht="15.75" customHeight="1">
      <c r="A7" s="86" t="s">
        <v>40</v>
      </c>
      <c r="B7" s="33" t="s">
        <v>104</v>
      </c>
      <c r="C7" s="14">
        <f>VLOOKUP($A7,'Beef Animal Numbers'!$B$2:$I$54,2,FALSE)</f>
        <v>347</v>
      </c>
      <c r="D7" s="14">
        <f>VLOOKUP($A7,'Beef Animal Numbers'!$B$2:$I$54,3,FALSE)</f>
        <v>696</v>
      </c>
      <c r="E7" s="14">
        <f>VLOOKUP($A7,'Beef Animal Numbers'!$B$2:$I$54,5,FALSE)</f>
        <v>28</v>
      </c>
      <c r="F7" s="14">
        <f>VLOOKUP($A7,'Beef Animal Numbers'!$B$2:$I$54,6,FALSE)</f>
        <v>67</v>
      </c>
      <c r="G7" s="14">
        <f>VLOOKUP($A7,'Beef Animal Numbers'!$B$2:$I$54,7,FALSE)</f>
        <v>21</v>
      </c>
      <c r="H7" s="14">
        <f>VLOOKUP($A7,'Beef Animal Numbers'!$B$2:$I$54,8,FALSE)</f>
        <v>21</v>
      </c>
      <c r="I7" s="14">
        <f>VLOOKUP($A7,'Beef Animal Numbers'!$B$2:$I$54,4,FALSE)</f>
        <v>7</v>
      </c>
      <c r="J7" s="77">
        <f>( VLOOKUP($A7,'Beef diets'!$B$27:$J$76,2,FALSE)* 1000)/(C7*1000)</f>
        <v>8.9942363112391934</v>
      </c>
      <c r="K7" s="78">
        <f>( VLOOKUP($A7,'Beef diets'!$B$27:$J$76,3,FALSE)* 1000)/(D7*1000)</f>
        <v>80.494252873563212</v>
      </c>
      <c r="L7" s="78">
        <f>( VLOOKUP($A7,'Beef diets'!$B$27:$J$76,4,FALSE)* 1000)/(E7*1000)</f>
        <v>51.107142857142854</v>
      </c>
      <c r="M7" s="78">
        <f>( VLOOKUP($A7,'Beef diets'!$B$27:$J$76,5,FALSE)* 1000)/(F7*1000)</f>
        <v>58.955223880597018</v>
      </c>
      <c r="N7" s="78">
        <f>( VLOOKUP($A7,'Beef diets'!$B$27:$J$76,6,FALSE)* 1000)/(G7*1000)</f>
        <v>48.761904761904759</v>
      </c>
      <c r="O7" s="78">
        <f>( VLOOKUP($A7,'Beef diets'!$B$27:$J$76,7,FALSE)* 1000)/(H7*1000)</f>
        <v>50.238095238095241</v>
      </c>
      <c r="P7" s="84">
        <f>( VLOOKUP($A7,'Beef diets'!$B$27:$J$76,8,FALSE)/(I7*1000) ) * 1000</f>
        <v>45.714285714285715</v>
      </c>
      <c r="Q7" s="50">
        <f t="shared" ref="Q7:V7" si="9">((J7* 0.065)/55.65) * 1000</f>
        <v>10.505397308725025</v>
      </c>
      <c r="R7" s="51">
        <f t="shared" si="9"/>
        <v>94.018444506408073</v>
      </c>
      <c r="S7" s="51">
        <f t="shared" si="9"/>
        <v>59.6938775510204</v>
      </c>
      <c r="T7" s="51">
        <f t="shared" si="9"/>
        <v>68.860549006986645</v>
      </c>
      <c r="U7" s="51">
        <f t="shared" si="9"/>
        <v>56.954605741667741</v>
      </c>
      <c r="V7" s="51">
        <f t="shared" si="9"/>
        <v>58.678817438925265</v>
      </c>
      <c r="W7" s="52">
        <f t="shared" si="1"/>
        <v>32.036965729688099</v>
      </c>
      <c r="X7" s="80">
        <f t="shared" ref="X7:AD7" si="10">((Q7*(C7*1000) ) * 28)/1000000/1000</f>
        <v>0.10207044025157233</v>
      </c>
      <c r="Y7" s="80">
        <f t="shared" si="10"/>
        <v>1.8322314465408804</v>
      </c>
      <c r="Z7" s="80">
        <f t="shared" si="10"/>
        <v>4.6799999999999987E-2</v>
      </c>
      <c r="AA7" s="80">
        <f t="shared" si="10"/>
        <v>0.12918238993710693</v>
      </c>
      <c r="AB7" s="80">
        <f t="shared" si="10"/>
        <v>3.3489308176100629E-2</v>
      </c>
      <c r="AC7" s="80">
        <f t="shared" si="10"/>
        <v>3.4503144654088047E-2</v>
      </c>
      <c r="AD7" s="80">
        <f t="shared" si="10"/>
        <v>6.2792452830188672E-3</v>
      </c>
      <c r="AE7" s="85" t="str">
        <f t="shared" si="3"/>
        <v>AL</v>
      </c>
      <c r="AF7" s="82">
        <f t="shared" si="4"/>
        <v>2.1845559748427674</v>
      </c>
    </row>
    <row r="8" spans="1:32" ht="15.75" customHeight="1">
      <c r="A8" s="86" t="s">
        <v>41</v>
      </c>
      <c r="B8" s="33" t="s">
        <v>104</v>
      </c>
      <c r="C8" s="14">
        <f>VLOOKUP($A8,'Beef Animal Numbers'!$B$2:$I$54,2,FALSE)</f>
        <v>456</v>
      </c>
      <c r="D8" s="14">
        <f>VLOOKUP($A8,'Beef Animal Numbers'!$B$2:$I$54,3,FALSE)</f>
        <v>915</v>
      </c>
      <c r="E8" s="14">
        <f>VLOOKUP($A8,'Beef Animal Numbers'!$B$2:$I$54,5,FALSE)</f>
        <v>35</v>
      </c>
      <c r="F8" s="14">
        <f>VLOOKUP($A8,'Beef Animal Numbers'!$B$2:$I$54,6,FALSE)</f>
        <v>84</v>
      </c>
      <c r="G8" s="14">
        <f>VLOOKUP($A8,'Beef Animal Numbers'!$B$2:$I$54,7,FALSE)</f>
        <v>53</v>
      </c>
      <c r="H8" s="14">
        <f>VLOOKUP($A8,'Beef Animal Numbers'!$B$2:$I$54,8,FALSE)</f>
        <v>33</v>
      </c>
      <c r="I8" s="14">
        <f>VLOOKUP($A8,'Beef Animal Numbers'!$B$2:$I$54,4,FALSE)</f>
        <v>14</v>
      </c>
      <c r="J8" s="77">
        <f>( VLOOKUP($A8,'Beef diets'!$B$27:$J$76,2,FALSE)* 1000)/(C8*1000)</f>
        <v>9</v>
      </c>
      <c r="K8" s="78">
        <f>( VLOOKUP($A8,'Beef diets'!$B$27:$J$76,3,FALSE)* 1000)/(D8*1000)</f>
        <v>80.49508196721311</v>
      </c>
      <c r="L8" s="78">
        <f>( VLOOKUP($A8,'Beef diets'!$B$27:$J$76,4,FALSE)* 1000)/(E8*1000)</f>
        <v>51.542857142857144</v>
      </c>
      <c r="M8" s="78">
        <f>( VLOOKUP($A8,'Beef diets'!$B$27:$J$76,5,FALSE)* 1000)/(F8*1000)</f>
        <v>59.273809523809526</v>
      </c>
      <c r="N8" s="78">
        <f>( VLOOKUP($A8,'Beef diets'!$B$27:$J$76,6,FALSE)* 1000)/(G8*1000)</f>
        <v>49.358490566037737</v>
      </c>
      <c r="O8" s="78">
        <f>( VLOOKUP($A8,'Beef diets'!$B$27:$J$76,7,FALSE)* 1000)/(H8*1000)</f>
        <v>50.878787878787875</v>
      </c>
      <c r="P8" s="84">
        <f>( VLOOKUP($A8,'Beef diets'!$B$27:$J$76,8,FALSE)/(I8*1000) ) * 1000</f>
        <v>47.571428571428569</v>
      </c>
      <c r="Q8" s="50">
        <f t="shared" ref="Q8:V8" si="11">((J8* 0.065)/55.65) * 1000</f>
        <v>10.512129380053908</v>
      </c>
      <c r="R8" s="51">
        <f t="shared" si="11"/>
        <v>94.019412899709849</v>
      </c>
      <c r="S8" s="51">
        <f t="shared" si="11"/>
        <v>60.202798100372235</v>
      </c>
      <c r="T8" s="51">
        <f t="shared" si="11"/>
        <v>69.232661618106377</v>
      </c>
      <c r="U8" s="51">
        <f t="shared" si="11"/>
        <v>57.651426537150996</v>
      </c>
      <c r="V8" s="51">
        <f t="shared" si="11"/>
        <v>59.42715565357075</v>
      </c>
      <c r="W8" s="52">
        <f t="shared" si="1"/>
        <v>33.338467462456684</v>
      </c>
      <c r="X8" s="80">
        <f t="shared" ref="X8:AD8" si="12">((Q8*(C8*1000) ) * 28)/1000000/1000</f>
        <v>0.13421886792452831</v>
      </c>
      <c r="Y8" s="80">
        <f t="shared" si="12"/>
        <v>2.4087773584905663</v>
      </c>
      <c r="Z8" s="80">
        <f t="shared" si="12"/>
        <v>5.8998742138364785E-2</v>
      </c>
      <c r="AA8" s="80">
        <f t="shared" si="12"/>
        <v>0.16283522012578619</v>
      </c>
      <c r="AB8" s="80">
        <f t="shared" si="12"/>
        <v>8.5554716981132095E-2</v>
      </c>
      <c r="AC8" s="80">
        <f t="shared" si="12"/>
        <v>5.491069182389937E-2</v>
      </c>
      <c r="AD8" s="80">
        <f t="shared" si="12"/>
        <v>1.3068679245283019E-2</v>
      </c>
      <c r="AE8" s="85" t="str">
        <f t="shared" si="3"/>
        <v>AR</v>
      </c>
      <c r="AF8" s="82">
        <f t="shared" si="4"/>
        <v>2.9183642767295606</v>
      </c>
    </row>
    <row r="9" spans="1:32" ht="15.75" customHeight="1">
      <c r="A9" s="86" t="s">
        <v>42</v>
      </c>
      <c r="B9" s="33" t="s">
        <v>104</v>
      </c>
      <c r="C9" s="14">
        <f>VLOOKUP($A9,'Beef Animal Numbers'!$B$2:$I$54,2,FALSE)</f>
        <v>97</v>
      </c>
      <c r="D9" s="14">
        <f>VLOOKUP($A9,'Beef Animal Numbers'!$B$2:$I$54,3,FALSE)</f>
        <v>194</v>
      </c>
      <c r="E9" s="14">
        <f>VLOOKUP($A9,'Beef Animal Numbers'!$B$2:$I$54,5,FALSE)</f>
        <v>6</v>
      </c>
      <c r="F9" s="14">
        <f>VLOOKUP($A9,'Beef Animal Numbers'!$B$2:$I$54,6,FALSE)</f>
        <v>14</v>
      </c>
      <c r="G9" s="14">
        <f>VLOOKUP($A9,'Beef Animal Numbers'!$B$2:$I$54,7,FALSE)</f>
        <v>126</v>
      </c>
      <c r="H9" s="14">
        <f>VLOOKUP($A9,'Beef Animal Numbers'!$B$2:$I$54,8,FALSE)</f>
        <v>7</v>
      </c>
      <c r="I9" s="14">
        <f>VLOOKUP($A9,'Beef Animal Numbers'!$B$2:$I$54,4,FALSE)</f>
        <v>270</v>
      </c>
      <c r="J9" s="77">
        <f>( VLOOKUP($A9,'Beef diets'!$B$27:$J$76,2,FALSE)* 1000)/(C9*1000)</f>
        <v>9.68041237113402</v>
      </c>
      <c r="K9" s="78">
        <f>( VLOOKUP($A9,'Beef diets'!$B$27:$J$76,3,FALSE)* 1000)/(D9*1000)</f>
        <v>85.932989690721655</v>
      </c>
      <c r="L9" s="78">
        <f>( VLOOKUP($A9,'Beef diets'!$B$27:$J$76,4,FALSE)* 1000)/(E9*1000)</f>
        <v>54</v>
      </c>
      <c r="M9" s="78">
        <f>( VLOOKUP($A9,'Beef diets'!$B$27:$J$76,5,FALSE)* 1000)/(F9*1000)</f>
        <v>63.571428571428569</v>
      </c>
      <c r="N9" s="78">
        <f>( VLOOKUP($A9,'Beef diets'!$B$27:$J$76,6,FALSE)* 1000)/(G9*1000)</f>
        <v>53.452380952380949</v>
      </c>
      <c r="O9" s="78">
        <f>( VLOOKUP($A9,'Beef diets'!$B$27:$J$76,7,FALSE)* 1000)/(H9*1000)</f>
        <v>55.428571428571431</v>
      </c>
      <c r="P9" s="84">
        <f>( VLOOKUP($A9,'Beef diets'!$B$27:$J$76,8,FALSE)/(I9*1000) ) * 1000</f>
        <v>44.581481481481482</v>
      </c>
      <c r="Q9" s="50">
        <f t="shared" ref="Q9:V9" si="13">((J9* 0.065)/55.65) * 1000</f>
        <v>11.306860810848363</v>
      </c>
      <c r="R9" s="51">
        <f t="shared" si="13"/>
        <v>100.37096729374497</v>
      </c>
      <c r="S9" s="51">
        <f t="shared" si="13"/>
        <v>63.072776280323453</v>
      </c>
      <c r="T9" s="51">
        <f t="shared" si="13"/>
        <v>74.252342446412527</v>
      </c>
      <c r="U9" s="51">
        <f t="shared" si="13"/>
        <v>62.433149360373079</v>
      </c>
      <c r="V9" s="51">
        <f t="shared" si="13"/>
        <v>64.74136824541138</v>
      </c>
      <c r="W9" s="52">
        <f t="shared" si="1"/>
        <v>31.243086752520714</v>
      </c>
      <c r="X9" s="80">
        <f t="shared" ref="X9:AD9" si="14">((Q9*(C9*1000) ) * 28)/1000000/1000</f>
        <v>3.0709433962264155E-2</v>
      </c>
      <c r="Y9" s="80">
        <f t="shared" si="14"/>
        <v>0.54521509433962267</v>
      </c>
      <c r="Z9" s="80">
        <f t="shared" si="14"/>
        <v>1.0596226415094341E-2</v>
      </c>
      <c r="AA9" s="80">
        <f t="shared" si="14"/>
        <v>2.9106918238993709E-2</v>
      </c>
      <c r="AB9" s="80">
        <f t="shared" si="14"/>
        <v>0.22026415094339621</v>
      </c>
      <c r="AC9" s="80">
        <f t="shared" si="14"/>
        <v>1.268930817610063E-2</v>
      </c>
      <c r="AD9" s="80">
        <f t="shared" si="14"/>
        <v>0.23619773584905662</v>
      </c>
      <c r="AE9" s="85" t="str">
        <f t="shared" si="3"/>
        <v>AZ</v>
      </c>
      <c r="AF9" s="82">
        <f t="shared" si="4"/>
        <v>1.0847788679245283</v>
      </c>
    </row>
    <row r="10" spans="1:32" ht="15.75" customHeight="1">
      <c r="A10" s="86" t="s">
        <v>43</v>
      </c>
      <c r="B10" s="33" t="s">
        <v>104</v>
      </c>
      <c r="C10" s="14">
        <f>VLOOKUP($A10,'Beef Animal Numbers'!$B$2:$I$54,2,FALSE)</f>
        <v>385</v>
      </c>
      <c r="D10" s="14">
        <f>VLOOKUP($A10,'Beef Animal Numbers'!$B$2:$I$54,3,FALSE)</f>
        <v>771</v>
      </c>
      <c r="E10" s="14">
        <f>VLOOKUP($A10,'Beef Animal Numbers'!$B$2:$I$54,5,FALSE)</f>
        <v>36</v>
      </c>
      <c r="F10" s="14">
        <f>VLOOKUP($A10,'Beef Animal Numbers'!$B$2:$I$54,6,FALSE)</f>
        <v>87</v>
      </c>
      <c r="G10" s="14">
        <f>VLOOKUP($A10,'Beef Animal Numbers'!$B$2:$I$54,7,FALSE)</f>
        <v>358</v>
      </c>
      <c r="H10" s="14">
        <f>VLOOKUP($A10,'Beef Animal Numbers'!$B$2:$I$54,8,FALSE)</f>
        <v>266</v>
      </c>
      <c r="I10" s="14">
        <f>VLOOKUP($A10,'Beef Animal Numbers'!$B$2:$I$54,4,FALSE)</f>
        <v>1130</v>
      </c>
      <c r="J10" s="77">
        <f>( VLOOKUP($A10,'Beef diets'!$B$27:$J$76,2,FALSE)* 1000)/(C10*1000)</f>
        <v>9.6935064935064936</v>
      </c>
      <c r="K10" s="78">
        <f>( VLOOKUP($A10,'Beef diets'!$B$27:$J$76,3,FALSE)* 1000)/(D10*1000)</f>
        <v>85.931258106355386</v>
      </c>
      <c r="L10" s="78">
        <f>( VLOOKUP($A10,'Beef diets'!$B$27:$J$76,4,FALSE)* 1000)/(E10*1000)</f>
        <v>55.861111111111114</v>
      </c>
      <c r="M10" s="78">
        <f>( VLOOKUP($A10,'Beef diets'!$B$27:$J$76,5,FALSE)* 1000)/(F10*1000)</f>
        <v>63.448275862068968</v>
      </c>
      <c r="N10" s="78">
        <f>( VLOOKUP($A10,'Beef diets'!$B$27:$J$76,6,FALSE)* 1000)/(G10*1000)</f>
        <v>53.36312849162011</v>
      </c>
      <c r="O10" s="78">
        <f>( VLOOKUP($A10,'Beef diets'!$B$27:$J$76,7,FALSE)* 1000)/(H10*1000)</f>
        <v>55.387218045112782</v>
      </c>
      <c r="P10" s="84">
        <f>( VLOOKUP($A10,'Beef diets'!$B$27:$J$76,8,FALSE)/(I10*1000) ) * 1000</f>
        <v>46.784070796460178</v>
      </c>
      <c r="Q10" s="50">
        <f t="shared" ref="Q10:V10" si="15">((J10* 0.065)/55.65) * 1000</f>
        <v>11.322154934014772</v>
      </c>
      <c r="R10" s="51">
        <f t="shared" si="15"/>
        <v>100.36894477831268</v>
      </c>
      <c r="S10" s="51">
        <f t="shared" si="15"/>
        <v>65.246580812618561</v>
      </c>
      <c r="T10" s="51">
        <f t="shared" si="15"/>
        <v>74.108498311491175</v>
      </c>
      <c r="U10" s="51">
        <f t="shared" si="15"/>
        <v>62.328901203150181</v>
      </c>
      <c r="V10" s="51">
        <f t="shared" si="15"/>
        <v>64.693066899053562</v>
      </c>
      <c r="W10" s="52">
        <f t="shared" si="1"/>
        <v>32.786680342532733</v>
      </c>
      <c r="X10" s="80">
        <f t="shared" ref="X10:AD10" si="16">((Q10*(C10*1000) ) * 28)/1000000/1000</f>
        <v>0.12205283018867925</v>
      </c>
      <c r="Y10" s="80">
        <f t="shared" si="16"/>
        <v>2.1667647798742142</v>
      </c>
      <c r="Z10" s="80">
        <f t="shared" si="16"/>
        <v>6.5768553459119514E-2</v>
      </c>
      <c r="AA10" s="80">
        <f t="shared" si="16"/>
        <v>0.18052830188679253</v>
      </c>
      <c r="AB10" s="80">
        <f t="shared" si="16"/>
        <v>0.62478490566037737</v>
      </c>
      <c r="AC10" s="80">
        <f t="shared" si="16"/>
        <v>0.48183396226415082</v>
      </c>
      <c r="AD10" s="80">
        <f t="shared" si="16"/>
        <v>1.0373705660377357</v>
      </c>
      <c r="AE10" s="85" t="str">
        <f t="shared" si="3"/>
        <v>CO</v>
      </c>
      <c r="AF10" s="82">
        <f t="shared" si="4"/>
        <v>4.6791038993710696</v>
      </c>
    </row>
    <row r="11" spans="1:32" ht="15.75" customHeight="1">
      <c r="A11" s="86" t="s">
        <v>44</v>
      </c>
      <c r="B11" s="33" t="s">
        <v>104</v>
      </c>
      <c r="C11" s="14">
        <f>VLOOKUP($A11,'Beef Animal Numbers'!$B$2:$I$54,2,FALSE)</f>
        <v>3</v>
      </c>
      <c r="D11" s="14">
        <f>VLOOKUP($A11,'Beef Animal Numbers'!$B$2:$I$54,3,FALSE)</f>
        <v>6</v>
      </c>
      <c r="E11" s="14">
        <f>VLOOKUP($A11,'Beef Animal Numbers'!$B$2:$I$54,5,FALSE)</f>
        <v>0</v>
      </c>
      <c r="F11" s="14">
        <f>VLOOKUP($A11,'Beef Animal Numbers'!$B$2:$I$54,6,FALSE)</f>
        <v>1</v>
      </c>
      <c r="G11" s="14">
        <f>VLOOKUP($A11,'Beef Animal Numbers'!$B$2:$I$54,7,FALSE)</f>
        <v>1</v>
      </c>
      <c r="H11" s="14">
        <f>VLOOKUP($A11,'Beef Animal Numbers'!$B$2:$I$54,8,FALSE)</f>
        <v>1</v>
      </c>
      <c r="I11" s="14">
        <f>VLOOKUP($A11,'Beef Animal Numbers'!$B$2:$I$54,4,FALSE)</f>
        <v>0</v>
      </c>
      <c r="J11" s="77">
        <f>( VLOOKUP($A11,'Beef diets'!$B$27:$J$76,2,FALSE)* 1000)/(C11*1000)</f>
        <v>8.3333333333333339</v>
      </c>
      <c r="K11" s="78">
        <f>( VLOOKUP($A11,'Beef diets'!$B$27:$J$76,3,FALSE)* 1000)/(D11*1000)</f>
        <v>74</v>
      </c>
      <c r="L11" s="78" t="e">
        <f>( VLOOKUP($A11,'Beef diets'!$B$27:$J$76,4,FALSE)* 1000)/(E11*1000)</f>
        <v>#DIV/0!</v>
      </c>
      <c r="M11" s="78">
        <f>( VLOOKUP($A11,'Beef diets'!$B$27:$J$76,5,FALSE)* 1000)/(F11*1000)</f>
        <v>67</v>
      </c>
      <c r="N11" s="78">
        <f>( VLOOKUP($A11,'Beef diets'!$B$27:$J$76,6,FALSE)* 1000)/(G11*1000)</f>
        <v>34</v>
      </c>
      <c r="O11" s="78">
        <f>( VLOOKUP($A11,'Beef diets'!$B$27:$J$76,7,FALSE)* 1000)/(H11*1000)</f>
        <v>36</v>
      </c>
      <c r="P11" s="84" t="e">
        <f>( VLOOKUP($A11,'Beef diets'!$B$27:$J$76,8,FALSE)/(I11*1000) ) * 1000</f>
        <v>#DIV/0!</v>
      </c>
      <c r="Q11" s="50">
        <f t="shared" ref="Q11:V11" si="17">((J11* 0.065)/55.65) * 1000</f>
        <v>9.7334531296795461</v>
      </c>
      <c r="R11" s="51">
        <f t="shared" si="17"/>
        <v>86.433063791554375</v>
      </c>
      <c r="S11" s="51" t="e">
        <f t="shared" si="17"/>
        <v>#DIV/0!</v>
      </c>
      <c r="T11" s="51">
        <f t="shared" si="17"/>
        <v>78.256963162623549</v>
      </c>
      <c r="U11" s="51">
        <f t="shared" si="17"/>
        <v>39.712488769092545</v>
      </c>
      <c r="V11" s="51">
        <f t="shared" si="17"/>
        <v>42.048517520215633</v>
      </c>
      <c r="W11" s="52" t="e">
        <f t="shared" si="1"/>
        <v>#DIV/0!</v>
      </c>
      <c r="X11" s="80">
        <f t="shared" ref="X11:Y11" si="18">((Q11*(C11*1000) ) * 28)/1000000/1000</f>
        <v>8.1761006289308188E-4</v>
      </c>
      <c r="Y11" s="80">
        <f t="shared" si="18"/>
        <v>1.4520754716981136E-2</v>
      </c>
      <c r="Z11" s="80" t="s">
        <v>105</v>
      </c>
      <c r="AA11" s="80">
        <f t="shared" ref="AA11:AC11" si="19">((T11*(F11*1000) ) * 28)/1000000/1000</f>
        <v>2.1911949685534593E-3</v>
      </c>
      <c r="AB11" s="80">
        <f t="shared" si="19"/>
        <v>1.1119496855345914E-3</v>
      </c>
      <c r="AC11" s="80">
        <f t="shared" si="19"/>
        <v>1.1773584905660378E-3</v>
      </c>
      <c r="AD11" s="80" t="s">
        <v>105</v>
      </c>
      <c r="AE11" s="85" t="str">
        <f t="shared" si="3"/>
        <v>CT</v>
      </c>
      <c r="AF11" s="82">
        <f t="shared" si="4"/>
        <v>1.9818867924528309E-2</v>
      </c>
    </row>
    <row r="12" spans="1:32" ht="15.75" customHeight="1">
      <c r="A12" s="86" t="s">
        <v>45</v>
      </c>
      <c r="B12" s="33" t="s">
        <v>104</v>
      </c>
      <c r="C12" s="14">
        <f>VLOOKUP($A12,'Beef Animal Numbers'!$B$2:$I$54,2,FALSE)</f>
        <v>1</v>
      </c>
      <c r="D12" s="14">
        <f>VLOOKUP($A12,'Beef Animal Numbers'!$B$2:$I$54,3,FALSE)</f>
        <v>2</v>
      </c>
      <c r="E12" s="14">
        <f>VLOOKUP($A12,'Beef Animal Numbers'!$B$2:$I$54,5,FALSE)</f>
        <v>0</v>
      </c>
      <c r="F12" s="14">
        <f>VLOOKUP($A12,'Beef Animal Numbers'!$B$2:$I$54,6,FALSE)</f>
        <v>0</v>
      </c>
      <c r="G12" s="14">
        <f>VLOOKUP($A12,'Beef Animal Numbers'!$B$2:$I$54,7,FALSE)</f>
        <v>1</v>
      </c>
      <c r="H12" s="14">
        <f>VLOOKUP($A12,'Beef Animal Numbers'!$B$2:$I$54,8,FALSE)</f>
        <v>0</v>
      </c>
      <c r="I12" s="14">
        <f>VLOOKUP($A12,'Beef Animal Numbers'!$B$2:$I$54,4,FALSE)</f>
        <v>0</v>
      </c>
      <c r="J12" s="77">
        <f>( VLOOKUP($A12,'Beef diets'!$B$27:$J$76,2,FALSE)* 1000)/(C12*1000)</f>
        <v>10</v>
      </c>
      <c r="K12" s="78">
        <f>( VLOOKUP($A12,'Beef diets'!$B$27:$J$76,3,FALSE)* 1000)/(D12*1000)</f>
        <v>89</v>
      </c>
      <c r="L12" s="78" t="e">
        <f>( VLOOKUP($A12,'Beef diets'!$B$27:$J$76,4,FALSE)* 1000)/(E12*1000)</f>
        <v>#DIV/0!</v>
      </c>
      <c r="M12" s="78" t="e">
        <f>( VLOOKUP($A12,'Beef diets'!$B$27:$J$76,5,FALSE)* 1000)/(F12*1000)</f>
        <v>#DIV/0!</v>
      </c>
      <c r="N12" s="78">
        <f>( VLOOKUP($A12,'Beef diets'!$B$27:$J$76,6,FALSE)* 1000)/(G12*1000)</f>
        <v>59</v>
      </c>
      <c r="O12" s="78" t="e">
        <f>( VLOOKUP($A12,'Beef diets'!$B$27:$J$76,7,FALSE)* 1000)/(H12*1000)</f>
        <v>#DIV/0!</v>
      </c>
      <c r="P12" s="84" t="e">
        <f>( VLOOKUP($A12,'Beef diets'!$B$27:$J$76,8,FALSE)/(I12*1000) ) * 1000</f>
        <v>#DIV/0!</v>
      </c>
      <c r="Q12" s="50">
        <f t="shared" ref="Q12:V12" si="20">((J12* 0.065)/55.65) * 1000</f>
        <v>11.680143755615454</v>
      </c>
      <c r="R12" s="51">
        <f t="shared" si="20"/>
        <v>103.95327942497755</v>
      </c>
      <c r="S12" s="51" t="e">
        <f t="shared" si="20"/>
        <v>#DIV/0!</v>
      </c>
      <c r="T12" s="51" t="e">
        <f t="shared" si="20"/>
        <v>#DIV/0!</v>
      </c>
      <c r="U12" s="51">
        <f t="shared" si="20"/>
        <v>68.912848158131169</v>
      </c>
      <c r="V12" s="51" t="e">
        <f t="shared" si="20"/>
        <v>#DIV/0!</v>
      </c>
      <c r="W12" s="52" t="e">
        <f t="shared" si="1"/>
        <v>#DIV/0!</v>
      </c>
      <c r="X12" s="80">
        <f t="shared" ref="X12:Y12" si="21">((Q12*(C12*1000) ) * 28)/1000000/1000</f>
        <v>3.2704402515723271E-4</v>
      </c>
      <c r="Y12" s="80">
        <f t="shared" si="21"/>
        <v>5.8213836477987438E-3</v>
      </c>
      <c r="Z12" s="80" t="s">
        <v>105</v>
      </c>
      <c r="AA12" s="80" t="s">
        <v>105</v>
      </c>
      <c r="AB12" s="80">
        <f>((U12*(G12*1000) ) * 28)/1000000/1000</f>
        <v>1.9295597484276724E-3</v>
      </c>
      <c r="AC12" s="80" t="s">
        <v>105</v>
      </c>
      <c r="AD12" s="80" t="s">
        <v>105</v>
      </c>
      <c r="AE12" s="85" t="str">
        <f t="shared" si="3"/>
        <v>DE</v>
      </c>
      <c r="AF12" s="82">
        <f t="shared" si="4"/>
        <v>8.0779874213836485E-3</v>
      </c>
    </row>
    <row r="13" spans="1:32" ht="15.75" customHeight="1">
      <c r="A13" s="86" t="s">
        <v>46</v>
      </c>
      <c r="B13" s="33" t="s">
        <v>104</v>
      </c>
      <c r="C13" s="14">
        <f>VLOOKUP($A13,'Beef Animal Numbers'!$B$2:$I$54,2,FALSE)</f>
        <v>451</v>
      </c>
      <c r="D13" s="14">
        <f>VLOOKUP($A13,'Beef Animal Numbers'!$B$2:$I$54,3,FALSE)</f>
        <v>904</v>
      </c>
      <c r="E13" s="14">
        <f>VLOOKUP($A13,'Beef Animal Numbers'!$B$2:$I$54,5,FALSE)</f>
        <v>31</v>
      </c>
      <c r="F13" s="14">
        <f>VLOOKUP($A13,'Beef Animal Numbers'!$B$2:$I$54,6,FALSE)</f>
        <v>73</v>
      </c>
      <c r="G13" s="14">
        <f>VLOOKUP($A13,'Beef Animal Numbers'!$B$2:$I$54,7,FALSE)</f>
        <v>11</v>
      </c>
      <c r="H13" s="14">
        <f>VLOOKUP($A13,'Beef Animal Numbers'!$B$2:$I$54,8,FALSE)</f>
        <v>12</v>
      </c>
      <c r="I13" s="14">
        <f>VLOOKUP($A13,'Beef Animal Numbers'!$B$2:$I$54,4,FALSE)</f>
        <v>4</v>
      </c>
      <c r="J13" s="77">
        <f>( VLOOKUP($A13,'Beef diets'!$B$27:$J$76,2,FALSE)* 1000)/(C13*1000)</f>
        <v>8.9889135254988908</v>
      </c>
      <c r="K13" s="78">
        <f>( VLOOKUP($A13,'Beef diets'!$B$27:$J$76,3,FALSE)* 1000)/(D13*1000)</f>
        <v>80.494469026548671</v>
      </c>
      <c r="L13" s="78">
        <f>( VLOOKUP($A13,'Beef diets'!$B$27:$J$76,4,FALSE)* 1000)/(E13*1000)</f>
        <v>50.41935483870968</v>
      </c>
      <c r="M13" s="78">
        <f>( VLOOKUP($A13,'Beef diets'!$B$27:$J$76,5,FALSE)* 1000)/(F13*1000)</f>
        <v>59.109589041095887</v>
      </c>
      <c r="N13" s="78">
        <f>( VLOOKUP($A13,'Beef diets'!$B$27:$J$76,6,FALSE)* 1000)/(G13*1000)</f>
        <v>51.727272727272727</v>
      </c>
      <c r="O13" s="78">
        <f>( VLOOKUP($A13,'Beef diets'!$B$27:$J$76,7,FALSE)* 1000)/(H13*1000)</f>
        <v>50</v>
      </c>
      <c r="P13" s="84">
        <f>( VLOOKUP($A13,'Beef diets'!$B$27:$J$76,8,FALSE)/(I13*1000) ) * 1000</f>
        <v>45</v>
      </c>
      <c r="Q13" s="50">
        <f t="shared" ref="Q13:V13" si="22">((J13* 0.065)/55.65) * 1000</f>
        <v>10.499180218462316</v>
      </c>
      <c r="R13" s="51">
        <f t="shared" si="22"/>
        <v>94.018696976202406</v>
      </c>
      <c r="S13" s="51">
        <f t="shared" si="22"/>
        <v>58.890531258151469</v>
      </c>
      <c r="T13" s="51">
        <f t="shared" si="22"/>
        <v>69.040849733535197</v>
      </c>
      <c r="U13" s="51">
        <f t="shared" si="22"/>
        <v>60.418198154047211</v>
      </c>
      <c r="V13" s="51">
        <f t="shared" si="22"/>
        <v>58.400718778077277</v>
      </c>
      <c r="W13" s="52">
        <f t="shared" si="1"/>
        <v>31.536388140161723</v>
      </c>
      <c r="X13" s="80">
        <f t="shared" ref="X13:AD13" si="23">((Q13*(C13*1000) ) * 28)/1000000/1000</f>
        <v>0.13258364779874213</v>
      </c>
      <c r="Y13" s="80">
        <f t="shared" si="23"/>
        <v>2.3798012578616352</v>
      </c>
      <c r="Z13" s="80">
        <f t="shared" si="23"/>
        <v>5.1116981132075474E-2</v>
      </c>
      <c r="AA13" s="80">
        <f t="shared" si="23"/>
        <v>0.14111949685534597</v>
      </c>
      <c r="AB13" s="80">
        <f t="shared" si="23"/>
        <v>1.8608805031446539E-2</v>
      </c>
      <c r="AC13" s="80">
        <f t="shared" si="23"/>
        <v>1.9622641509433963E-2</v>
      </c>
      <c r="AD13" s="80">
        <f t="shared" si="23"/>
        <v>3.5320754716981128E-3</v>
      </c>
      <c r="AE13" s="85" t="str">
        <f t="shared" si="3"/>
        <v>FL</v>
      </c>
      <c r="AF13" s="82">
        <f t="shared" si="4"/>
        <v>2.7463849056603773</v>
      </c>
    </row>
    <row r="14" spans="1:32" ht="15.75" customHeight="1">
      <c r="A14" s="86" t="s">
        <v>47</v>
      </c>
      <c r="B14" s="33" t="s">
        <v>104</v>
      </c>
      <c r="C14" s="14">
        <f>VLOOKUP($A14,'Beef Animal Numbers'!$B$2:$I$54,2,FALSE)</f>
        <v>259</v>
      </c>
      <c r="D14" s="14">
        <f>VLOOKUP($A14,'Beef Animal Numbers'!$B$2:$I$54,3,FALSE)</f>
        <v>519</v>
      </c>
      <c r="E14" s="14">
        <f>VLOOKUP($A14,'Beef Animal Numbers'!$B$2:$I$54,5,FALSE)</f>
        <v>21</v>
      </c>
      <c r="F14" s="14">
        <f>VLOOKUP($A14,'Beef Animal Numbers'!$B$2:$I$54,6,FALSE)</f>
        <v>50</v>
      </c>
      <c r="G14" s="14">
        <f>VLOOKUP($A14,'Beef Animal Numbers'!$B$2:$I$54,7,FALSE)</f>
        <v>20</v>
      </c>
      <c r="H14" s="14">
        <f>VLOOKUP($A14,'Beef Animal Numbers'!$B$2:$I$54,8,FALSE)</f>
        <v>14</v>
      </c>
      <c r="I14" s="14">
        <f>VLOOKUP($A14,'Beef Animal Numbers'!$B$2:$I$54,4,FALSE)</f>
        <v>5</v>
      </c>
      <c r="J14" s="77">
        <f>( VLOOKUP($A14,'Beef diets'!$B$27:$J$76,2,FALSE)* 1000)/(C14*1000)</f>
        <v>8.9884169884169882</v>
      </c>
      <c r="K14" s="78">
        <f>( VLOOKUP($A14,'Beef diets'!$B$27:$J$76,3,FALSE)* 1000)/(D14*1000)</f>
        <v>80.495183044315993</v>
      </c>
      <c r="L14" s="78">
        <f>( VLOOKUP($A14,'Beef diets'!$B$27:$J$76,4,FALSE)* 1000)/(E14*1000)</f>
        <v>51.523809523809526</v>
      </c>
      <c r="M14" s="78">
        <f>( VLOOKUP($A14,'Beef diets'!$B$27:$J$76,5,FALSE)* 1000)/(F14*1000)</f>
        <v>59.74</v>
      </c>
      <c r="N14" s="78">
        <f>( VLOOKUP($A14,'Beef diets'!$B$27:$J$76,6,FALSE)* 1000)/(G14*1000)</f>
        <v>48.9</v>
      </c>
      <c r="O14" s="78">
        <f>( VLOOKUP($A14,'Beef diets'!$B$27:$J$76,7,FALSE)* 1000)/(H14*1000)</f>
        <v>51.428571428571431</v>
      </c>
      <c r="P14" s="84">
        <f>( VLOOKUP($A14,'Beef diets'!$B$27:$J$76,8,FALSE)/(I14*1000) ) * 1000</f>
        <v>52.6</v>
      </c>
      <c r="Q14" s="50">
        <f t="shared" ref="Q14:V14" si="24">((J14* 0.065)/55.65) * 1000</f>
        <v>10.498600256012656</v>
      </c>
      <c r="R14" s="51">
        <f t="shared" si="24"/>
        <v>94.019530959219054</v>
      </c>
      <c r="S14" s="51">
        <f t="shared" si="24"/>
        <v>60.180550207504389</v>
      </c>
      <c r="T14" s="51">
        <f t="shared" si="24"/>
        <v>69.777178796046726</v>
      </c>
      <c r="U14" s="51">
        <f t="shared" si="24"/>
        <v>57.115902964959574</v>
      </c>
      <c r="V14" s="51">
        <f t="shared" si="24"/>
        <v>60.069310743165197</v>
      </c>
      <c r="W14" s="52">
        <f t="shared" si="1"/>
        <v>36.862533692722373</v>
      </c>
      <c r="X14" s="80">
        <f t="shared" ref="X14:AD14" si="25">((Q14*(C14*1000) ) * 28)/1000000/1000</f>
        <v>7.6135849056603769E-2</v>
      </c>
      <c r="Y14" s="80">
        <f t="shared" si="25"/>
        <v>1.3662918238993713</v>
      </c>
      <c r="Z14" s="80">
        <f t="shared" si="25"/>
        <v>3.5386163522012577E-2</v>
      </c>
      <c r="AA14" s="80">
        <f t="shared" si="25"/>
        <v>9.7688050314465411E-2</v>
      </c>
      <c r="AB14" s="80">
        <f t="shared" si="25"/>
        <v>3.1984905660377358E-2</v>
      </c>
      <c r="AC14" s="80">
        <f t="shared" si="25"/>
        <v>2.3547169811320757E-2</v>
      </c>
      <c r="AD14" s="80">
        <f t="shared" si="25"/>
        <v>5.1607547169811316E-3</v>
      </c>
      <c r="AE14" s="85" t="str">
        <f t="shared" si="3"/>
        <v>GA</v>
      </c>
      <c r="AF14" s="82">
        <f t="shared" si="4"/>
        <v>1.6361947169811324</v>
      </c>
    </row>
    <row r="15" spans="1:32" ht="15.75" customHeight="1">
      <c r="A15" s="86" t="s">
        <v>48</v>
      </c>
      <c r="B15" s="33" t="s">
        <v>104</v>
      </c>
      <c r="C15" s="14">
        <f>VLOOKUP($A15,'Beef Animal Numbers'!$B$2:$I$54,2,FALSE)</f>
        <v>452</v>
      </c>
      <c r="D15" s="14">
        <f>VLOOKUP($A15,'Beef Animal Numbers'!$B$2:$I$54,3,FALSE)</f>
        <v>905</v>
      </c>
      <c r="E15" s="14">
        <f>VLOOKUP($A15,'Beef Animal Numbers'!$B$2:$I$54,5,FALSE)</f>
        <v>34</v>
      </c>
      <c r="F15" s="14">
        <f>VLOOKUP($A15,'Beef Animal Numbers'!$B$2:$I$54,6,FALSE)</f>
        <v>81</v>
      </c>
      <c r="G15" s="14">
        <f>VLOOKUP($A15,'Beef Animal Numbers'!$B$2:$I$54,7,FALSE)</f>
        <v>597</v>
      </c>
      <c r="H15" s="14">
        <f>VLOOKUP($A15,'Beef Animal Numbers'!$B$2:$I$54,8,FALSE)</f>
        <v>280</v>
      </c>
      <c r="I15" s="14">
        <f>VLOOKUP($A15,'Beef Animal Numbers'!$B$2:$I$54,4,FALSE)</f>
        <v>1327</v>
      </c>
      <c r="J15" s="77">
        <f>( VLOOKUP($A15,'Beef diets'!$B$27:$J$76,2,FALSE)* 1000)/(C15*1000)</f>
        <v>8.7477876106194685</v>
      </c>
      <c r="K15" s="78">
        <f>( VLOOKUP($A15,'Beef diets'!$B$27:$J$76,3,FALSE)* 1000)/(D15*1000)</f>
        <v>78.692817679558004</v>
      </c>
      <c r="L15" s="78">
        <f>( VLOOKUP($A15,'Beef diets'!$B$27:$J$76,4,FALSE)* 1000)/(E15*1000)</f>
        <v>49.970588235294116</v>
      </c>
      <c r="M15" s="78">
        <f>( VLOOKUP($A15,'Beef diets'!$B$27:$J$76,5,FALSE)* 1000)/(F15*1000)</f>
        <v>58</v>
      </c>
      <c r="N15" s="78">
        <f>( VLOOKUP($A15,'Beef diets'!$B$27:$J$76,6,FALSE)* 1000)/(G15*1000)</f>
        <v>48.309882747068677</v>
      </c>
      <c r="O15" s="78">
        <f>( VLOOKUP($A15,'Beef diets'!$B$27:$J$76,7,FALSE)* 1000)/(H15*1000)</f>
        <v>50.103571428571428</v>
      </c>
      <c r="P15" s="84">
        <f>( VLOOKUP($A15,'Beef diets'!$B$27:$J$76,8,FALSE)/(I15*1000) ) * 1000</f>
        <v>45.886209495101731</v>
      </c>
      <c r="Q15" s="50">
        <f t="shared" ref="Q15:V15" si="26">((J15* 0.065)/55.65) * 1000</f>
        <v>10.217541683562722</v>
      </c>
      <c r="R15" s="51">
        <f t="shared" si="26"/>
        <v>91.914342303167487</v>
      </c>
      <c r="S15" s="51">
        <f t="shared" si="26"/>
        <v>58.366365414090168</v>
      </c>
      <c r="T15" s="51">
        <f t="shared" si="26"/>
        <v>67.744833782569643</v>
      </c>
      <c r="U15" s="51">
        <f t="shared" si="26"/>
        <v>56.426637530268899</v>
      </c>
      <c r="V15" s="51">
        <f t="shared" si="26"/>
        <v>58.521691695546146</v>
      </c>
      <c r="W15" s="52">
        <f t="shared" si="1"/>
        <v>32.157451398184506</v>
      </c>
      <c r="X15" s="80">
        <f t="shared" ref="X15:AD15" si="27">((Q15*(C15*1000) ) * 28)/1000000/1000</f>
        <v>0.12931320754716982</v>
      </c>
      <c r="Y15" s="80">
        <f t="shared" si="27"/>
        <v>2.3291094339622642</v>
      </c>
      <c r="Z15" s="80">
        <f t="shared" si="27"/>
        <v>5.5564779874213842E-2</v>
      </c>
      <c r="AA15" s="80">
        <f t="shared" si="27"/>
        <v>0.15364528301886793</v>
      </c>
      <c r="AB15" s="80">
        <f t="shared" si="27"/>
        <v>0.94322767295597498</v>
      </c>
      <c r="AC15" s="80">
        <f t="shared" si="27"/>
        <v>0.45881006289308179</v>
      </c>
      <c r="AD15" s="80">
        <f t="shared" si="27"/>
        <v>1.1948422641509435</v>
      </c>
      <c r="AE15" s="85" t="str">
        <f t="shared" si="3"/>
        <v>IA</v>
      </c>
      <c r="AF15" s="82">
        <f t="shared" si="4"/>
        <v>5.2645127044025157</v>
      </c>
    </row>
    <row r="16" spans="1:32" ht="15.75" customHeight="1">
      <c r="A16" s="86" t="s">
        <v>49</v>
      </c>
      <c r="B16" s="33" t="s">
        <v>104</v>
      </c>
      <c r="C16" s="14">
        <f>VLOOKUP($A16,'Beef Animal Numbers'!$B$2:$I$54,2,FALSE)</f>
        <v>244</v>
      </c>
      <c r="D16" s="14">
        <f>VLOOKUP($A16,'Beef Animal Numbers'!$B$2:$I$54,3,FALSE)</f>
        <v>490</v>
      </c>
      <c r="E16" s="14">
        <f>VLOOKUP($A16,'Beef Animal Numbers'!$B$2:$I$54,5,FALSE)</f>
        <v>31</v>
      </c>
      <c r="F16" s="14">
        <f>VLOOKUP($A16,'Beef Animal Numbers'!$B$2:$I$54,6,FALSE)</f>
        <v>73</v>
      </c>
      <c r="G16" s="14">
        <f>VLOOKUP($A16,'Beef Animal Numbers'!$B$2:$I$54,7,FALSE)</f>
        <v>138</v>
      </c>
      <c r="H16" s="14">
        <f>VLOOKUP($A16,'Beef Animal Numbers'!$B$2:$I$54,8,FALSE)</f>
        <v>93</v>
      </c>
      <c r="I16" s="14">
        <f>VLOOKUP($A16,'Beef Animal Numbers'!$B$2:$I$54,4,FALSE)</f>
        <v>314</v>
      </c>
      <c r="J16" s="77">
        <f>( VLOOKUP($A16,'Beef diets'!$B$27:$J$76,2,FALSE)* 1000)/(C16*1000)</f>
        <v>9.721311475409836</v>
      </c>
      <c r="K16" s="78">
        <f>( VLOOKUP($A16,'Beef diets'!$B$27:$J$76,3,FALSE)* 1000)/(D16*1000)</f>
        <v>85.930612244897958</v>
      </c>
      <c r="L16" s="78">
        <f>( VLOOKUP($A16,'Beef diets'!$B$27:$J$76,4,FALSE)* 1000)/(E16*1000)</f>
        <v>54.387096774193552</v>
      </c>
      <c r="M16" s="78">
        <f>( VLOOKUP($A16,'Beef diets'!$B$27:$J$76,5,FALSE)* 1000)/(F16*1000)</f>
        <v>63.424657534246577</v>
      </c>
      <c r="N16" s="78">
        <f>( VLOOKUP($A16,'Beef diets'!$B$27:$J$76,6,FALSE)* 1000)/(G16*1000)</f>
        <v>53.246376811594203</v>
      </c>
      <c r="O16" s="78">
        <f>( VLOOKUP($A16,'Beef diets'!$B$27:$J$76,7,FALSE)* 1000)/(H16*1000)</f>
        <v>55.591397849462368</v>
      </c>
      <c r="P16" s="84">
        <f>( VLOOKUP($A16,'Beef diets'!$B$27:$J$76,8,FALSE)/(I16*1000) ) * 1000</f>
        <v>46.601910828025481</v>
      </c>
      <c r="Q16" s="50">
        <f t="shared" ref="Q16:V16" si="28">((J16* 0.065)/55.65) * 1000</f>
        <v>11.354631552590106</v>
      </c>
      <c r="R16" s="51">
        <f t="shared" si="28"/>
        <v>100.36819040284578</v>
      </c>
      <c r="S16" s="51">
        <f t="shared" si="28"/>
        <v>63.52491087731503</v>
      </c>
      <c r="T16" s="51">
        <f t="shared" si="28"/>
        <v>74.080911765067881</v>
      </c>
      <c r="U16" s="51">
        <f t="shared" si="28"/>
        <v>62.192533562508956</v>
      </c>
      <c r="V16" s="51">
        <f t="shared" si="28"/>
        <v>64.931551845733225</v>
      </c>
      <c r="W16" s="52">
        <f t="shared" si="1"/>
        <v>32.659021065462603</v>
      </c>
      <c r="X16" s="80">
        <f t="shared" ref="X16:AD16" si="29">((Q16*(C16*1000) ) * 28)/1000000/1000</f>
        <v>7.7574842767295607E-2</v>
      </c>
      <c r="Y16" s="80">
        <f t="shared" si="29"/>
        <v>1.377051572327044</v>
      </c>
      <c r="Z16" s="80">
        <f t="shared" si="29"/>
        <v>5.5139622641509442E-2</v>
      </c>
      <c r="AA16" s="80">
        <f t="shared" si="29"/>
        <v>0.15142138364779872</v>
      </c>
      <c r="AB16" s="80">
        <f t="shared" si="29"/>
        <v>0.2403119496855346</v>
      </c>
      <c r="AC16" s="80">
        <f t="shared" si="29"/>
        <v>0.16908176100628933</v>
      </c>
      <c r="AD16" s="80">
        <f t="shared" si="29"/>
        <v>0.28713811320754723</v>
      </c>
      <c r="AE16" s="85" t="str">
        <f t="shared" si="3"/>
        <v>ID</v>
      </c>
      <c r="AF16" s="82">
        <f t="shared" si="4"/>
        <v>2.3577192452830191</v>
      </c>
    </row>
    <row r="17" spans="1:32" ht="15.75" customHeight="1">
      <c r="A17" s="86" t="s">
        <v>50</v>
      </c>
      <c r="B17" s="33" t="s">
        <v>104</v>
      </c>
      <c r="C17" s="14">
        <f>VLOOKUP($A17,'Beef Animal Numbers'!$B$2:$I$54,2,FALSE)</f>
        <v>189</v>
      </c>
      <c r="D17" s="14">
        <f>VLOOKUP($A17,'Beef Animal Numbers'!$B$2:$I$54,3,FALSE)</f>
        <v>378</v>
      </c>
      <c r="E17" s="14">
        <f>VLOOKUP($A17,'Beef Animal Numbers'!$B$2:$I$54,5,FALSE)</f>
        <v>14</v>
      </c>
      <c r="F17" s="14">
        <f>VLOOKUP($A17,'Beef Animal Numbers'!$B$2:$I$54,6,FALSE)</f>
        <v>34</v>
      </c>
      <c r="G17" s="14">
        <f>VLOOKUP($A17,'Beef Animal Numbers'!$B$2:$I$54,7,FALSE)</f>
        <v>110</v>
      </c>
      <c r="H17" s="14">
        <f>VLOOKUP($A17,'Beef Animal Numbers'!$B$2:$I$54,8,FALSE)</f>
        <v>42</v>
      </c>
      <c r="I17" s="14">
        <f>VLOOKUP($A17,'Beef Animal Numbers'!$B$2:$I$54,4,FALSE)</f>
        <v>248</v>
      </c>
      <c r="J17" s="77">
        <f>( VLOOKUP($A17,'Beef diets'!$B$27:$J$76,2,FALSE)* 1000)/(C17*1000)</f>
        <v>8.7407407407407405</v>
      </c>
      <c r="K17" s="78">
        <f>( VLOOKUP($A17,'Beef diets'!$B$27:$J$76,3,FALSE)* 1000)/(D17*1000)</f>
        <v>78.693121693121697</v>
      </c>
      <c r="L17" s="78">
        <f>( VLOOKUP($A17,'Beef diets'!$B$27:$J$76,4,FALSE)* 1000)/(E17*1000)</f>
        <v>50.214285714285715</v>
      </c>
      <c r="M17" s="78">
        <f>( VLOOKUP($A17,'Beef diets'!$B$27:$J$76,5,FALSE)* 1000)/(F17*1000)</f>
        <v>57.176470588235297</v>
      </c>
      <c r="N17" s="78">
        <f>( VLOOKUP($A17,'Beef diets'!$B$27:$J$76,6,FALSE)* 1000)/(G17*1000)</f>
        <v>48.4</v>
      </c>
      <c r="O17" s="78">
        <f>( VLOOKUP($A17,'Beef diets'!$B$27:$J$76,7,FALSE)* 1000)/(H17*1000)</f>
        <v>50.095238095238095</v>
      </c>
      <c r="P17" s="84">
        <f>( VLOOKUP($A17,'Beef diets'!$B$27:$J$76,8,FALSE)/(I17*1000) ) * 1000</f>
        <v>45.677419354838712</v>
      </c>
      <c r="Q17" s="50">
        <f t="shared" ref="Q17:V17" si="30">((J17* 0.065)/55.65) * 1000</f>
        <v>10.209310838241656</v>
      </c>
      <c r="R17" s="51">
        <f t="shared" si="30"/>
        <v>91.914697395380244</v>
      </c>
      <c r="S17" s="51">
        <f t="shared" si="30"/>
        <v>58.651007572840463</v>
      </c>
      <c r="T17" s="51">
        <f t="shared" si="30"/>
        <v>66.782939590930724</v>
      </c>
      <c r="U17" s="51">
        <f t="shared" si="30"/>
        <v>56.531895777178796</v>
      </c>
      <c r="V17" s="51">
        <f t="shared" si="30"/>
        <v>58.511958242416462</v>
      </c>
      <c r="W17" s="52">
        <f t="shared" si="1"/>
        <v>32.011129467002874</v>
      </c>
      <c r="X17" s="80">
        <f t="shared" ref="X17:AD17" si="31">((Q17*(C17*1000) ) * 28)/1000000/1000</f>
        <v>5.4027672955974854E-2</v>
      </c>
      <c r="Y17" s="80">
        <f t="shared" si="31"/>
        <v>0.97282515723270468</v>
      </c>
      <c r="Z17" s="80">
        <f t="shared" si="31"/>
        <v>2.2991194968553463E-2</v>
      </c>
      <c r="AA17" s="80">
        <f t="shared" si="31"/>
        <v>6.3577358490566047E-2</v>
      </c>
      <c r="AB17" s="80">
        <f t="shared" si="31"/>
        <v>0.17411823899371068</v>
      </c>
      <c r="AC17" s="80">
        <f t="shared" si="31"/>
        <v>6.8810062893081753E-2</v>
      </c>
      <c r="AD17" s="80">
        <f t="shared" si="31"/>
        <v>0.22228528301886796</v>
      </c>
      <c r="AE17" s="85" t="str">
        <f t="shared" si="3"/>
        <v>IL</v>
      </c>
      <c r="AF17" s="82">
        <f t="shared" si="4"/>
        <v>1.5786349685534593</v>
      </c>
    </row>
    <row r="18" spans="1:32" ht="15.75" customHeight="1">
      <c r="A18" s="86" t="s">
        <v>51</v>
      </c>
      <c r="B18" s="33" t="s">
        <v>104</v>
      </c>
      <c r="C18" s="14">
        <f>VLOOKUP($A18,'Beef Animal Numbers'!$B$2:$I$54,2,FALSE)</f>
        <v>97</v>
      </c>
      <c r="D18" s="14">
        <f>VLOOKUP($A18,'Beef Animal Numbers'!$B$2:$I$54,3,FALSE)</f>
        <v>194</v>
      </c>
      <c r="E18" s="14">
        <f>VLOOKUP($A18,'Beef Animal Numbers'!$B$2:$I$54,5,FALSE)</f>
        <v>10</v>
      </c>
      <c r="F18" s="14">
        <f>VLOOKUP($A18,'Beef Animal Numbers'!$B$2:$I$54,6,FALSE)</f>
        <v>23</v>
      </c>
      <c r="G18" s="14">
        <f>VLOOKUP($A18,'Beef Animal Numbers'!$B$2:$I$54,7,FALSE)</f>
        <v>50</v>
      </c>
      <c r="H18" s="14">
        <f>VLOOKUP($A18,'Beef Animal Numbers'!$B$2:$I$54,8,FALSE)</f>
        <v>21</v>
      </c>
      <c r="I18" s="14">
        <f>VLOOKUP($A18,'Beef Animal Numbers'!$B$2:$I$54,4,FALSE)</f>
        <v>106</v>
      </c>
      <c r="J18" s="77">
        <f>( VLOOKUP($A18,'Beef diets'!$B$27:$J$76,2,FALSE)* 1000)/(C18*1000)</f>
        <v>8.7422680412371125</v>
      </c>
      <c r="K18" s="78">
        <f>( VLOOKUP($A18,'Beef diets'!$B$27:$J$76,3,FALSE)* 1000)/(D18*1000)</f>
        <v>78.69072164948453</v>
      </c>
      <c r="L18" s="78">
        <f>( VLOOKUP($A18,'Beef diets'!$B$27:$J$76,4,FALSE)* 1000)/(E18*1000)</f>
        <v>48</v>
      </c>
      <c r="M18" s="78">
        <f>( VLOOKUP($A18,'Beef diets'!$B$27:$J$76,5,FALSE)* 1000)/(F18*1000)</f>
        <v>57.739130434782609</v>
      </c>
      <c r="N18" s="78">
        <f>( VLOOKUP($A18,'Beef diets'!$B$27:$J$76,6,FALSE)* 1000)/(G18*1000)</f>
        <v>47.92</v>
      </c>
      <c r="O18" s="78">
        <f>( VLOOKUP($A18,'Beef diets'!$B$27:$J$76,7,FALSE)* 1000)/(H18*1000)</f>
        <v>50.095238095238095</v>
      </c>
      <c r="P18" s="84">
        <f>( VLOOKUP($A18,'Beef diets'!$B$27:$J$76,8,FALSE)/(I18*1000) ) * 1000</f>
        <v>46.75471698113207</v>
      </c>
      <c r="Q18" s="50">
        <f t="shared" ref="Q18:V18" si="32">((J18* 0.065)/55.65) * 1000</f>
        <v>10.211094747177221</v>
      </c>
      <c r="R18" s="51">
        <f t="shared" si="32"/>
        <v>91.911894109910065</v>
      </c>
      <c r="S18" s="51">
        <f t="shared" si="32"/>
        <v>56.064690026954182</v>
      </c>
      <c r="T18" s="51">
        <f t="shared" si="32"/>
        <v>67.440134380249233</v>
      </c>
      <c r="U18" s="51">
        <f t="shared" si="32"/>
        <v>55.971248876909264</v>
      </c>
      <c r="V18" s="51">
        <f t="shared" si="32"/>
        <v>58.511958242416462</v>
      </c>
      <c r="W18" s="52">
        <f t="shared" si="1"/>
        <v>32.766108935564255</v>
      </c>
      <c r="X18" s="80">
        <f t="shared" ref="X18:AD18" si="33">((Q18*(C18*1000) ) * 28)/1000000/1000</f>
        <v>2.7733333333333332E-2</v>
      </c>
      <c r="Y18" s="80">
        <f t="shared" si="33"/>
        <v>0.49926540880503151</v>
      </c>
      <c r="Z18" s="80">
        <f t="shared" si="33"/>
        <v>1.569811320754717E-2</v>
      </c>
      <c r="AA18" s="80">
        <f t="shared" si="33"/>
        <v>4.3431446540880506E-2</v>
      </c>
      <c r="AB18" s="80">
        <f t="shared" si="33"/>
        <v>7.8359748427672987E-2</v>
      </c>
      <c r="AC18" s="80">
        <f t="shared" si="33"/>
        <v>3.4405031446540876E-2</v>
      </c>
      <c r="AD18" s="80">
        <f t="shared" si="33"/>
        <v>9.7249811320754706E-2</v>
      </c>
      <c r="AE18" s="85" t="str">
        <f t="shared" si="3"/>
        <v>IN</v>
      </c>
      <c r="AF18" s="82">
        <f t="shared" si="4"/>
        <v>0.79614289308176112</v>
      </c>
    </row>
    <row r="19" spans="1:32" ht="15.75" customHeight="1">
      <c r="A19" s="86" t="s">
        <v>52</v>
      </c>
      <c r="B19" s="33" t="s">
        <v>104</v>
      </c>
      <c r="C19" s="14">
        <f>VLOOKUP($A19,'Beef Animal Numbers'!$B$2:$I$54,2,FALSE)</f>
        <v>720</v>
      </c>
      <c r="D19" s="14">
        <f>VLOOKUP($A19,'Beef Animal Numbers'!$B$2:$I$54,3,FALSE)</f>
        <v>1443</v>
      </c>
      <c r="E19" s="14">
        <f>VLOOKUP($A19,'Beef Animal Numbers'!$B$2:$I$54,5,FALSE)</f>
        <v>59</v>
      </c>
      <c r="F19" s="14">
        <f>VLOOKUP($A19,'Beef Animal Numbers'!$B$2:$I$54,6,FALSE)</f>
        <v>140</v>
      </c>
      <c r="G19" s="14">
        <f>VLOOKUP($A19,'Beef Animal Numbers'!$B$2:$I$54,7,FALSE)</f>
        <v>956</v>
      </c>
      <c r="H19" s="14">
        <f>VLOOKUP($A19,'Beef Animal Numbers'!$B$2:$I$54,8,FALSE)</f>
        <v>723</v>
      </c>
      <c r="I19" s="14">
        <f>VLOOKUP($A19,'Beef Animal Numbers'!$B$2:$I$54,4,FALSE)</f>
        <v>2607</v>
      </c>
      <c r="J19" s="77">
        <f>( VLOOKUP($A19,'Beef diets'!$B$27:$J$76,2,FALSE)* 1000)/(C19*1000)</f>
        <v>8.7569444444444446</v>
      </c>
      <c r="K19" s="78">
        <f>( VLOOKUP($A19,'Beef diets'!$B$27:$J$76,3,FALSE)* 1000)/(D19*1000)</f>
        <v>78.693000693000698</v>
      </c>
      <c r="L19" s="78">
        <f>( VLOOKUP($A19,'Beef diets'!$B$27:$J$76,4,FALSE)* 1000)/(E19*1000)</f>
        <v>49.66101694915254</v>
      </c>
      <c r="M19" s="78">
        <f>( VLOOKUP($A19,'Beef diets'!$B$27:$J$76,5,FALSE)* 1000)/(F19*1000)</f>
        <v>57.85</v>
      </c>
      <c r="N19" s="78">
        <f>( VLOOKUP($A19,'Beef diets'!$B$27:$J$76,6,FALSE)* 1000)/(G19*1000)</f>
        <v>48.268828451882847</v>
      </c>
      <c r="O19" s="78">
        <f>( VLOOKUP($A19,'Beef diets'!$B$27:$J$76,7,FALSE)* 1000)/(H19*1000)</f>
        <v>50.125864453665287</v>
      </c>
      <c r="P19" s="84">
        <f>( VLOOKUP($A19,'Beef diets'!$B$27:$J$76,8,FALSE)/(I19*1000) ) * 1000</f>
        <v>46.713080168776372</v>
      </c>
      <c r="Q19" s="50">
        <f t="shared" ref="Q19:V19" si="34">((J19* 0.065)/55.65) * 1000</f>
        <v>10.228236997104922</v>
      </c>
      <c r="R19" s="51">
        <f t="shared" si="34"/>
        <v>91.914556065499482</v>
      </c>
      <c r="S19" s="51">
        <f t="shared" si="34"/>
        <v>58.00478170161572</v>
      </c>
      <c r="T19" s="51">
        <f t="shared" si="34"/>
        <v>67.569631626235406</v>
      </c>
      <c r="U19" s="51">
        <f t="shared" si="34"/>
        <v>56.378685523313301</v>
      </c>
      <c r="V19" s="51">
        <f t="shared" si="34"/>
        <v>58.547730269330529</v>
      </c>
      <c r="W19" s="52">
        <f t="shared" si="1"/>
        <v>32.736929498333851</v>
      </c>
      <c r="X19" s="80">
        <f t="shared" ref="X19:AD19" si="35">((Q19*(C19*1000) ) * 28)/1000000/1000</f>
        <v>0.20620125786163523</v>
      </c>
      <c r="Y19" s="80">
        <f t="shared" si="35"/>
        <v>3.7137157232704414</v>
      </c>
      <c r="Z19" s="80">
        <f t="shared" si="35"/>
        <v>9.5823899371069166E-2</v>
      </c>
      <c r="AA19" s="80">
        <f t="shared" si="35"/>
        <v>0.26487295597484278</v>
      </c>
      <c r="AB19" s="80">
        <f t="shared" si="35"/>
        <v>1.5091446540880504</v>
      </c>
      <c r="AC19" s="80">
        <f t="shared" si="35"/>
        <v>1.1852402515723275</v>
      </c>
      <c r="AD19" s="80">
        <f t="shared" si="35"/>
        <v>2.389664905660378</v>
      </c>
      <c r="AE19" s="85" t="str">
        <f t="shared" si="3"/>
        <v>KS</v>
      </c>
      <c r="AF19" s="82">
        <f t="shared" si="4"/>
        <v>9.3646636477987446</v>
      </c>
    </row>
    <row r="20" spans="1:32" ht="15.75" customHeight="1">
      <c r="A20" s="86" t="s">
        <v>53</v>
      </c>
      <c r="B20" s="33" t="s">
        <v>104</v>
      </c>
      <c r="C20" s="14">
        <f>VLOOKUP($A20,'Beef Animal Numbers'!$B$2:$I$54,2,FALSE)</f>
        <v>509</v>
      </c>
      <c r="D20" s="14">
        <f>VLOOKUP($A20,'Beef Animal Numbers'!$B$2:$I$54,3,FALSE)</f>
        <v>1021</v>
      </c>
      <c r="E20" s="14">
        <f>VLOOKUP($A20,'Beef Animal Numbers'!$B$2:$I$54,5,FALSE)</f>
        <v>29</v>
      </c>
      <c r="F20" s="14">
        <f>VLOOKUP($A20,'Beef Animal Numbers'!$B$2:$I$54,6,FALSE)</f>
        <v>70</v>
      </c>
      <c r="G20" s="14">
        <f>VLOOKUP($A20,'Beef Animal Numbers'!$B$2:$I$54,7,FALSE)</f>
        <v>99</v>
      </c>
      <c r="H20" s="14">
        <f>VLOOKUP($A20,'Beef Animal Numbers'!$B$2:$I$54,8,FALSE)</f>
        <v>51</v>
      </c>
      <c r="I20" s="14">
        <f>VLOOKUP($A20,'Beef Animal Numbers'!$B$2:$I$54,4,FALSE)</f>
        <v>17</v>
      </c>
      <c r="J20" s="77">
        <f>( VLOOKUP($A20,'Beef diets'!$B$27:$J$76,2,FALSE)* 1000)/(C20*1000)</f>
        <v>8.9960707269155211</v>
      </c>
      <c r="K20" s="78">
        <f>( VLOOKUP($A20,'Beef diets'!$B$27:$J$76,3,FALSE)* 1000)/(D20*1000)</f>
        <v>80.494613124387854</v>
      </c>
      <c r="L20" s="78">
        <f>( VLOOKUP($A20,'Beef diets'!$B$27:$J$76,4,FALSE)* 1000)/(E20*1000)</f>
        <v>51.827586206896555</v>
      </c>
      <c r="M20" s="78">
        <f>( VLOOKUP($A20,'Beef diets'!$B$27:$J$76,5,FALSE)* 1000)/(F20*1000)</f>
        <v>59.271428571428572</v>
      </c>
      <c r="N20" s="78">
        <f>( VLOOKUP($A20,'Beef diets'!$B$27:$J$76,6,FALSE)* 1000)/(G20*1000)</f>
        <v>49.414141414141412</v>
      </c>
      <c r="O20" s="78">
        <f>( VLOOKUP($A20,'Beef diets'!$B$27:$J$76,7,FALSE)* 1000)/(H20*1000)</f>
        <v>51.745098039215684</v>
      </c>
      <c r="P20" s="84">
        <f>( VLOOKUP($A20,'Beef diets'!$B$27:$J$76,8,FALSE)/(I20*1000) ) * 1000</f>
        <v>47.17647058823529</v>
      </c>
      <c r="Q20" s="50">
        <f t="shared" ref="Q20:V20" si="36">((J20* 0.065)/55.65) * 1000</f>
        <v>10.507539932605731</v>
      </c>
      <c r="R20" s="51">
        <f t="shared" si="36"/>
        <v>94.018865284550074</v>
      </c>
      <c r="S20" s="51">
        <f t="shared" si="36"/>
        <v>60.535365740310446</v>
      </c>
      <c r="T20" s="51">
        <f t="shared" si="36"/>
        <v>69.229880631497892</v>
      </c>
      <c r="U20" s="51">
        <f t="shared" si="36"/>
        <v>57.71642752774828</v>
      </c>
      <c r="V20" s="51">
        <f t="shared" si="36"/>
        <v>60.439018374645457</v>
      </c>
      <c r="W20" s="52">
        <f t="shared" si="1"/>
        <v>33.061677501189152</v>
      </c>
      <c r="X20" s="80">
        <f t="shared" ref="X20:AD20" si="37">((Q20*(C20*1000) ) * 28)/1000000/1000</f>
        <v>0.14975345911949686</v>
      </c>
      <c r="Y20" s="80">
        <f t="shared" si="37"/>
        <v>2.687811320754717</v>
      </c>
      <c r="Z20" s="80">
        <f t="shared" si="37"/>
        <v>4.9154716981132079E-2</v>
      </c>
      <c r="AA20" s="80">
        <f t="shared" si="37"/>
        <v>0.13569056603773585</v>
      </c>
      <c r="AB20" s="80">
        <f t="shared" si="37"/>
        <v>0.15998993710691822</v>
      </c>
      <c r="AC20" s="80">
        <f t="shared" si="37"/>
        <v>8.6306918238993696E-2</v>
      </c>
      <c r="AD20" s="80">
        <f t="shared" si="37"/>
        <v>1.5737358490566039E-2</v>
      </c>
      <c r="AE20" s="85" t="str">
        <f t="shared" si="3"/>
        <v>KY</v>
      </c>
      <c r="AF20" s="82">
        <f t="shared" si="4"/>
        <v>3.2844442767295594</v>
      </c>
    </row>
    <row r="21" spans="1:32" ht="15.75" customHeight="1">
      <c r="A21" s="86" t="s">
        <v>54</v>
      </c>
      <c r="B21" s="33" t="s">
        <v>104</v>
      </c>
      <c r="C21" s="14">
        <f>VLOOKUP($A21,'Beef Animal Numbers'!$B$2:$I$54,2,FALSE)</f>
        <v>227</v>
      </c>
      <c r="D21" s="14">
        <f>VLOOKUP($A21,'Beef Animal Numbers'!$B$2:$I$54,3,FALSE)</f>
        <v>455</v>
      </c>
      <c r="E21" s="14">
        <f>VLOOKUP($A21,'Beef Animal Numbers'!$B$2:$I$54,5,FALSE)</f>
        <v>19</v>
      </c>
      <c r="F21" s="14">
        <f>VLOOKUP($A21,'Beef Animal Numbers'!$B$2:$I$54,6,FALSE)</f>
        <v>46</v>
      </c>
      <c r="G21" s="14">
        <f>VLOOKUP($A21,'Beef Animal Numbers'!$B$2:$I$54,7,FALSE)</f>
        <v>11</v>
      </c>
      <c r="H21" s="14">
        <f>VLOOKUP($A21,'Beef Animal Numbers'!$B$2:$I$54,8,FALSE)</f>
        <v>9</v>
      </c>
      <c r="I21" s="14">
        <f>VLOOKUP($A21,'Beef Animal Numbers'!$B$2:$I$54,4,FALSE)</f>
        <v>3</v>
      </c>
      <c r="J21" s="77">
        <f>( VLOOKUP($A21,'Beef diets'!$B$27:$J$76,2,FALSE)* 1000)/(C21*1000)</f>
        <v>8.9911894273127757</v>
      </c>
      <c r="K21" s="78">
        <f>( VLOOKUP($A21,'Beef diets'!$B$27:$J$76,3,FALSE)* 1000)/(D21*1000)</f>
        <v>80.494505494505489</v>
      </c>
      <c r="L21" s="78">
        <f>( VLOOKUP($A21,'Beef diets'!$B$27:$J$76,4,FALSE)* 1000)/(E21*1000)</f>
        <v>51.89473684210526</v>
      </c>
      <c r="M21" s="78">
        <f>( VLOOKUP($A21,'Beef diets'!$B$27:$J$76,5,FALSE)* 1000)/(F21*1000)</f>
        <v>59.173913043478258</v>
      </c>
      <c r="N21" s="78">
        <f>( VLOOKUP($A21,'Beef diets'!$B$27:$J$76,6,FALSE)* 1000)/(G21*1000)</f>
        <v>51.727272727272727</v>
      </c>
      <c r="O21" s="78">
        <f>( VLOOKUP($A21,'Beef diets'!$B$27:$J$76,7,FALSE)* 1000)/(H21*1000)</f>
        <v>53.333333333333336</v>
      </c>
      <c r="P21" s="84">
        <f>( VLOOKUP($A21,'Beef diets'!$B$27:$J$76,8,FALSE)/(I21*1000) ) * 1000</f>
        <v>54</v>
      </c>
      <c r="Q21" s="50">
        <f t="shared" ref="Q21:V21" si="38">((J21* 0.065)/55.65) * 1000</f>
        <v>10.501838504498302</v>
      </c>
      <c r="R21" s="51">
        <f t="shared" si="38"/>
        <v>94.018739571300216</v>
      </c>
      <c r="S21" s="51">
        <f t="shared" si="38"/>
        <v>60.613798647562298</v>
      </c>
      <c r="T21" s="51">
        <f t="shared" si="38"/>
        <v>69.115981093011456</v>
      </c>
      <c r="U21" s="51">
        <f t="shared" si="38"/>
        <v>60.418198154047211</v>
      </c>
      <c r="V21" s="51">
        <f t="shared" si="38"/>
        <v>62.294100029949092</v>
      </c>
      <c r="W21" s="52">
        <f t="shared" si="1"/>
        <v>37.843665768194072</v>
      </c>
      <c r="X21" s="80">
        <f t="shared" ref="X21:AD21" si="39">((Q21*(C21*1000) ) * 28)/1000000/1000</f>
        <v>6.6749685534591208E-2</v>
      </c>
      <c r="Y21" s="80">
        <f t="shared" si="39"/>
        <v>1.1977987421383647</v>
      </c>
      <c r="Z21" s="80">
        <f t="shared" si="39"/>
        <v>3.2246540880503147E-2</v>
      </c>
      <c r="AA21" s="80">
        <f t="shared" si="39"/>
        <v>8.9021383647798741E-2</v>
      </c>
      <c r="AB21" s="80">
        <f t="shared" si="39"/>
        <v>1.8608805031446539E-2</v>
      </c>
      <c r="AC21" s="80">
        <f t="shared" si="39"/>
        <v>1.569811320754717E-2</v>
      </c>
      <c r="AD21" s="80">
        <f t="shared" si="39"/>
        <v>3.1788679245283017E-3</v>
      </c>
      <c r="AE21" s="85" t="str">
        <f t="shared" si="3"/>
        <v>LA</v>
      </c>
      <c r="AF21" s="82">
        <f t="shared" si="4"/>
        <v>1.4233021383647797</v>
      </c>
    </row>
    <row r="22" spans="1:32" ht="15.75" customHeight="1">
      <c r="A22" s="86" t="s">
        <v>55</v>
      </c>
      <c r="B22" s="33" t="s">
        <v>104</v>
      </c>
      <c r="C22" s="14">
        <f>VLOOKUP($A22,'Beef Animal Numbers'!$B$2:$I$54,2,FALSE)</f>
        <v>3</v>
      </c>
      <c r="D22" s="14">
        <f>VLOOKUP($A22,'Beef Animal Numbers'!$B$2:$I$54,3,FALSE)</f>
        <v>6</v>
      </c>
      <c r="E22" s="14">
        <f>VLOOKUP($A22,'Beef Animal Numbers'!$B$2:$I$54,5,FALSE)</f>
        <v>0</v>
      </c>
      <c r="F22" s="14">
        <f>VLOOKUP($A22,'Beef Animal Numbers'!$B$2:$I$54,6,FALSE)</f>
        <v>1</v>
      </c>
      <c r="G22" s="14">
        <f>VLOOKUP($A22,'Beef Animal Numbers'!$B$2:$I$54,7,FALSE)</f>
        <v>1</v>
      </c>
      <c r="H22" s="14">
        <f>VLOOKUP($A22,'Beef Animal Numbers'!$B$2:$I$54,8,FALSE)</f>
        <v>0</v>
      </c>
      <c r="I22" s="14">
        <f>VLOOKUP($A22,'Beef Animal Numbers'!$B$2:$I$54,4,FALSE)</f>
        <v>0</v>
      </c>
      <c r="J22" s="77">
        <f>( VLOOKUP($A22,'Beef diets'!$B$27:$J$76,2,FALSE)* 1000)/(C22*1000)</f>
        <v>8.3333333333333339</v>
      </c>
      <c r="K22" s="78">
        <f>( VLOOKUP($A22,'Beef diets'!$B$27:$J$76,3,FALSE)* 1000)/(D22*1000)</f>
        <v>74</v>
      </c>
      <c r="L22" s="78" t="e">
        <f>( VLOOKUP($A22,'Beef diets'!$B$27:$J$76,4,FALSE)* 1000)/(E22*1000)</f>
        <v>#DIV/0!</v>
      </c>
      <c r="M22" s="78">
        <f>( VLOOKUP($A22,'Beef diets'!$B$27:$J$76,5,FALSE)* 1000)/(F22*1000)</f>
        <v>67</v>
      </c>
      <c r="N22" s="78">
        <f>( VLOOKUP($A22,'Beef diets'!$B$27:$J$76,6,FALSE)* 1000)/(G22*1000)</f>
        <v>46</v>
      </c>
      <c r="O22" s="78" t="e">
        <f>( VLOOKUP($A22,'Beef diets'!$B$27:$J$76,7,FALSE)* 1000)/(H22*1000)</f>
        <v>#DIV/0!</v>
      </c>
      <c r="P22" s="84" t="e">
        <f>( VLOOKUP($A22,'Beef diets'!$B$27:$J$76,8,FALSE)/(I22*1000) ) * 1000</f>
        <v>#DIV/0!</v>
      </c>
      <c r="Q22" s="50">
        <f t="shared" ref="Q22:V22" si="40">((J22* 0.065)/55.65) * 1000</f>
        <v>9.7334531296795461</v>
      </c>
      <c r="R22" s="51">
        <f t="shared" si="40"/>
        <v>86.433063791554375</v>
      </c>
      <c r="S22" s="51" t="e">
        <f t="shared" si="40"/>
        <v>#DIV/0!</v>
      </c>
      <c r="T22" s="51">
        <f t="shared" si="40"/>
        <v>78.256963162623549</v>
      </c>
      <c r="U22" s="51">
        <f t="shared" si="40"/>
        <v>53.728661275831094</v>
      </c>
      <c r="V22" s="51" t="e">
        <f t="shared" si="40"/>
        <v>#DIV/0!</v>
      </c>
      <c r="W22" s="52" t="e">
        <f t="shared" si="1"/>
        <v>#DIV/0!</v>
      </c>
      <c r="X22" s="80">
        <f t="shared" ref="X22:Y22" si="41">((Q22*(C22*1000) ) * 28)/1000000/1000</f>
        <v>8.1761006289308188E-4</v>
      </c>
      <c r="Y22" s="80">
        <f t="shared" si="41"/>
        <v>1.4520754716981136E-2</v>
      </c>
      <c r="Z22" s="80" t="s">
        <v>105</v>
      </c>
      <c r="AA22" s="80">
        <f t="shared" ref="AA22:AB22" si="42">((T22*(F22*1000) ) * 28)/1000000/1000</f>
        <v>2.1911949685534593E-3</v>
      </c>
      <c r="AB22" s="80">
        <f t="shared" si="42"/>
        <v>1.5044025157232705E-3</v>
      </c>
      <c r="AC22" s="80" t="s">
        <v>105</v>
      </c>
      <c r="AD22" s="80" t="s">
        <v>105</v>
      </c>
      <c r="AE22" s="85" t="str">
        <f t="shared" si="3"/>
        <v>MA</v>
      </c>
      <c r="AF22" s="82">
        <f t="shared" si="4"/>
        <v>1.9033962264150949E-2</v>
      </c>
    </row>
    <row r="23" spans="1:32" ht="15.75" customHeight="1">
      <c r="A23" s="86" t="s">
        <v>56</v>
      </c>
      <c r="B23" s="33" t="s">
        <v>104</v>
      </c>
      <c r="C23" s="14">
        <f>VLOOKUP($A23,'Beef Animal Numbers'!$B$2:$I$54,2,FALSE)</f>
        <v>23</v>
      </c>
      <c r="D23" s="14">
        <f>VLOOKUP($A23,'Beef Animal Numbers'!$B$2:$I$54,3,FALSE)</f>
        <v>47</v>
      </c>
      <c r="E23" s="14">
        <f>VLOOKUP($A23,'Beef Animal Numbers'!$B$2:$I$54,5,FALSE)</f>
        <v>3</v>
      </c>
      <c r="F23" s="14">
        <f>VLOOKUP($A23,'Beef Animal Numbers'!$B$2:$I$54,6,FALSE)</f>
        <v>6</v>
      </c>
      <c r="G23" s="14">
        <f>VLOOKUP($A23,'Beef Animal Numbers'!$B$2:$I$54,7,FALSE)</f>
        <v>5</v>
      </c>
      <c r="H23" s="14">
        <f>VLOOKUP($A23,'Beef Animal Numbers'!$B$2:$I$54,8,FALSE)</f>
        <v>4</v>
      </c>
      <c r="I23" s="14">
        <f>VLOOKUP($A23,'Beef Animal Numbers'!$B$2:$I$54,4,FALSE)</f>
        <v>7</v>
      </c>
      <c r="J23" s="77">
        <f>( VLOOKUP($A23,'Beef diets'!$B$27:$J$76,2,FALSE)* 1000)/(C23*1000)</f>
        <v>9.1739130434782616</v>
      </c>
      <c r="K23" s="78">
        <f>( VLOOKUP($A23,'Beef diets'!$B$27:$J$76,3,FALSE)* 1000)/(D23*1000)</f>
        <v>80.723404255319153</v>
      </c>
      <c r="L23" s="78">
        <f>( VLOOKUP($A23,'Beef diets'!$B$27:$J$76,4,FALSE)* 1000)/(E23*1000)</f>
        <v>44.333333333333336</v>
      </c>
      <c r="M23" s="78">
        <f>( VLOOKUP($A23,'Beef diets'!$B$27:$J$76,5,FALSE)* 1000)/(F23*1000)</f>
        <v>61</v>
      </c>
      <c r="N23" s="78">
        <f>( VLOOKUP($A23,'Beef diets'!$B$27:$J$76,6,FALSE)* 1000)/(G23*1000)</f>
        <v>52.4</v>
      </c>
      <c r="O23" s="78">
        <f>( VLOOKUP($A23,'Beef diets'!$B$27:$J$76,7,FALSE)* 1000)/(H23*1000)</f>
        <v>48</v>
      </c>
      <c r="P23" s="84">
        <f>( VLOOKUP($A23,'Beef diets'!$B$27:$J$76,8,FALSE)/(I23*1000) ) * 1000</f>
        <v>40.428571428571431</v>
      </c>
      <c r="Q23" s="50">
        <f t="shared" ref="Q23:V23" si="43">((J23* 0.065)/55.65) * 1000</f>
        <v>10.715262314934177</v>
      </c>
      <c r="R23" s="51">
        <f t="shared" si="43"/>
        <v>94.286096614478794</v>
      </c>
      <c r="S23" s="51">
        <f t="shared" si="43"/>
        <v>51.781970649895186</v>
      </c>
      <c r="T23" s="51">
        <f t="shared" si="43"/>
        <v>71.248876909254278</v>
      </c>
      <c r="U23" s="51">
        <f t="shared" si="43"/>
        <v>61.203953279424979</v>
      </c>
      <c r="V23" s="51">
        <f t="shared" si="43"/>
        <v>56.064690026954182</v>
      </c>
      <c r="W23" s="52">
        <f t="shared" si="1"/>
        <v>28.332691567192914</v>
      </c>
      <c r="X23" s="80">
        <f t="shared" ref="X23:AD23" si="44">((Q23*(C23*1000) ) * 28)/1000000/1000</f>
        <v>6.9006289308176103E-3</v>
      </c>
      <c r="Y23" s="80">
        <f t="shared" si="44"/>
        <v>0.1240805031446541</v>
      </c>
      <c r="Z23" s="80">
        <f t="shared" si="44"/>
        <v>4.3496855345911958E-3</v>
      </c>
      <c r="AA23" s="80">
        <f t="shared" si="44"/>
        <v>1.1969811320754718E-2</v>
      </c>
      <c r="AB23" s="80">
        <f t="shared" si="44"/>
        <v>8.5685534591194972E-3</v>
      </c>
      <c r="AC23" s="80">
        <f t="shared" si="44"/>
        <v>6.279245283018868E-3</v>
      </c>
      <c r="AD23" s="80">
        <f t="shared" si="44"/>
        <v>5.5532075471698113E-3</v>
      </c>
      <c r="AE23" s="85" t="str">
        <f t="shared" si="3"/>
        <v>MD</v>
      </c>
      <c r="AF23" s="82">
        <f t="shared" si="4"/>
        <v>0.16770163522012582</v>
      </c>
    </row>
    <row r="24" spans="1:32" ht="15.75" customHeight="1">
      <c r="A24" s="86" t="s">
        <v>57</v>
      </c>
      <c r="B24" s="33" t="s">
        <v>104</v>
      </c>
      <c r="C24" s="14">
        <f>VLOOKUP($A24,'Beef Animal Numbers'!$B$2:$I$54,2,FALSE)</f>
        <v>5</v>
      </c>
      <c r="D24" s="14">
        <f>VLOOKUP($A24,'Beef Animal Numbers'!$B$2:$I$54,3,FALSE)</f>
        <v>11</v>
      </c>
      <c r="E24" s="14">
        <f>VLOOKUP($A24,'Beef Animal Numbers'!$B$2:$I$54,5,FALSE)</f>
        <v>1</v>
      </c>
      <c r="F24" s="14">
        <f>VLOOKUP($A24,'Beef Animal Numbers'!$B$2:$I$54,6,FALSE)</f>
        <v>2</v>
      </c>
      <c r="G24" s="14">
        <f>VLOOKUP($A24,'Beef Animal Numbers'!$B$2:$I$54,7,FALSE)</f>
        <v>2</v>
      </c>
      <c r="H24" s="14">
        <f>VLOOKUP($A24,'Beef Animal Numbers'!$B$2:$I$54,8,FALSE)</f>
        <v>2</v>
      </c>
      <c r="I24" s="14">
        <f>VLOOKUP($A24,'Beef Animal Numbers'!$B$2:$I$54,4,FALSE)</f>
        <v>1</v>
      </c>
      <c r="J24" s="77">
        <f>( VLOOKUP($A24,'Beef diets'!$B$27:$J$76,2,FALSE)* 1000)/(C24*1000)</f>
        <v>9.8000000000000007</v>
      </c>
      <c r="K24" s="78">
        <f>( VLOOKUP($A24,'Beef diets'!$B$27:$J$76,3,FALSE)* 1000)/(D24*1000)</f>
        <v>80.727272727272734</v>
      </c>
      <c r="L24" s="78">
        <f>( VLOOKUP($A24,'Beef diets'!$B$27:$J$76,4,FALSE)* 1000)/(E24*1000)</f>
        <v>42</v>
      </c>
      <c r="M24" s="78">
        <f>( VLOOKUP($A24,'Beef diets'!$B$27:$J$76,5,FALSE)* 1000)/(F24*1000)</f>
        <v>58.5</v>
      </c>
      <c r="N24" s="78">
        <f>( VLOOKUP($A24,'Beef diets'!$B$27:$J$76,6,FALSE)* 1000)/(G24*1000)</f>
        <v>57</v>
      </c>
      <c r="O24" s="78">
        <f>( VLOOKUP($A24,'Beef diets'!$B$27:$J$76,7,FALSE)* 1000)/(H24*1000)</f>
        <v>42</v>
      </c>
      <c r="P24" s="84">
        <f>( VLOOKUP($A24,'Beef diets'!$B$27:$J$76,8,FALSE)/(I24*1000) ) * 1000</f>
        <v>31</v>
      </c>
      <c r="Q24" s="50">
        <f t="shared" ref="Q24:V24" si="45">((J24* 0.065)/55.65) * 1000</f>
        <v>11.446540880503148</v>
      </c>
      <c r="R24" s="51">
        <f t="shared" si="45"/>
        <v>94.290615045332032</v>
      </c>
      <c r="S24" s="51">
        <f t="shared" si="45"/>
        <v>49.056603773584911</v>
      </c>
      <c r="T24" s="51">
        <f t="shared" si="45"/>
        <v>68.328840970350413</v>
      </c>
      <c r="U24" s="51">
        <f t="shared" si="45"/>
        <v>66.576819407008088</v>
      </c>
      <c r="V24" s="51">
        <f t="shared" si="45"/>
        <v>49.056603773584911</v>
      </c>
      <c r="W24" s="52">
        <f t="shared" si="1"/>
        <v>21.725067385444746</v>
      </c>
      <c r="X24" s="80">
        <f t="shared" ref="X24:AD24" si="46">((Q24*(C24*1000) ) * 28)/1000000/1000</f>
        <v>1.602515723270441E-3</v>
      </c>
      <c r="Y24" s="80">
        <f t="shared" si="46"/>
        <v>2.9041509433962269E-2</v>
      </c>
      <c r="Z24" s="80">
        <f t="shared" si="46"/>
        <v>1.3735849056603774E-3</v>
      </c>
      <c r="AA24" s="80">
        <f t="shared" si="46"/>
        <v>3.826415094339623E-3</v>
      </c>
      <c r="AB24" s="80">
        <f t="shared" si="46"/>
        <v>3.7283018867924527E-3</v>
      </c>
      <c r="AC24" s="80">
        <f t="shared" si="46"/>
        <v>2.7471698113207548E-3</v>
      </c>
      <c r="AD24" s="80">
        <f t="shared" si="46"/>
        <v>6.0830188679245295E-4</v>
      </c>
      <c r="AE24" s="85" t="str">
        <f t="shared" si="3"/>
        <v>ME</v>
      </c>
      <c r="AF24" s="82">
        <f t="shared" si="4"/>
        <v>4.2927798742138375E-2</v>
      </c>
    </row>
    <row r="25" spans="1:32" ht="15.75" customHeight="1">
      <c r="A25" s="86" t="s">
        <v>58</v>
      </c>
      <c r="B25" s="33" t="s">
        <v>104</v>
      </c>
      <c r="C25" s="14">
        <f>VLOOKUP($A25,'Beef Animal Numbers'!$B$2:$I$54,2,FALSE)</f>
        <v>46</v>
      </c>
      <c r="D25" s="14">
        <f>VLOOKUP($A25,'Beef Animal Numbers'!$B$2:$I$54,3,FALSE)</f>
        <v>93</v>
      </c>
      <c r="E25" s="14">
        <f>VLOOKUP($A25,'Beef Animal Numbers'!$B$2:$I$54,5,FALSE)</f>
        <v>5</v>
      </c>
      <c r="F25" s="14">
        <f>VLOOKUP($A25,'Beef Animal Numbers'!$B$2:$I$54,6,FALSE)</f>
        <v>13</v>
      </c>
      <c r="G25" s="14">
        <f>VLOOKUP($A25,'Beef Animal Numbers'!$B$2:$I$54,7,FALSE)</f>
        <v>80</v>
      </c>
      <c r="H25" s="14">
        <f>VLOOKUP($A25,'Beef Animal Numbers'!$B$2:$I$54,8,FALSE)</f>
        <v>15</v>
      </c>
      <c r="I25" s="14">
        <f>VLOOKUP($A25,'Beef Animal Numbers'!$B$2:$I$54,4,FALSE)</f>
        <v>165</v>
      </c>
      <c r="J25" s="77">
        <f>( VLOOKUP($A25,'Beef diets'!$B$27:$J$76,2,FALSE)* 1000)/(C25*1000)</f>
        <v>8.8260869565217384</v>
      </c>
      <c r="K25" s="78">
        <f>( VLOOKUP($A25,'Beef diets'!$B$27:$J$76,3,FALSE)* 1000)/(D25*1000)</f>
        <v>78.688172043010752</v>
      </c>
      <c r="L25" s="78">
        <f>( VLOOKUP($A25,'Beef diets'!$B$27:$J$76,4,FALSE)* 1000)/(E25*1000)</f>
        <v>54</v>
      </c>
      <c r="M25" s="78">
        <f>( VLOOKUP($A25,'Beef diets'!$B$27:$J$76,5,FALSE)* 1000)/(F25*1000)</f>
        <v>57.307692307692307</v>
      </c>
      <c r="N25" s="78">
        <f>( VLOOKUP($A25,'Beef diets'!$B$27:$J$76,6,FALSE)* 1000)/(G25*1000)</f>
        <v>48.524999999999999</v>
      </c>
      <c r="O25" s="78">
        <f>( VLOOKUP($A25,'Beef diets'!$B$27:$J$76,7,FALSE)* 1000)/(H25*1000)</f>
        <v>49.866666666666667</v>
      </c>
      <c r="P25" s="84">
        <f>( VLOOKUP($A25,'Beef diets'!$B$27:$J$76,8,FALSE)/(I25*1000) ) * 1000</f>
        <v>47.199999999999996</v>
      </c>
      <c r="Q25" s="50">
        <f t="shared" ref="Q25:V25" si="47">((J25* 0.065)/55.65) * 1000</f>
        <v>10.308996445173641</v>
      </c>
      <c r="R25" s="51">
        <f t="shared" si="47"/>
        <v>91.908916132896678</v>
      </c>
      <c r="S25" s="51">
        <f t="shared" si="47"/>
        <v>63.072776280323453</v>
      </c>
      <c r="T25" s="51">
        <f t="shared" si="47"/>
        <v>66.936208445642407</v>
      </c>
      <c r="U25" s="51">
        <f t="shared" si="47"/>
        <v>56.677897574123989</v>
      </c>
      <c r="V25" s="51">
        <f t="shared" si="47"/>
        <v>58.2449835280024</v>
      </c>
      <c r="W25" s="52">
        <f t="shared" si="1"/>
        <v>33.078167115902957</v>
      </c>
      <c r="X25" s="80">
        <f t="shared" ref="X25:AD25" si="48">((Q25*(C25*1000) ) * 28)/1000000/1000</f>
        <v>1.327798742138365E-2</v>
      </c>
      <c r="Y25" s="80">
        <f t="shared" si="48"/>
        <v>0.23933081761006295</v>
      </c>
      <c r="Z25" s="80">
        <f t="shared" si="48"/>
        <v>8.8301886792452843E-3</v>
      </c>
      <c r="AA25" s="80">
        <f t="shared" si="48"/>
        <v>2.4364779874213833E-2</v>
      </c>
      <c r="AB25" s="80">
        <f t="shared" si="48"/>
        <v>0.12695849056603772</v>
      </c>
      <c r="AC25" s="80">
        <f t="shared" si="48"/>
        <v>2.4462893081761007E-2</v>
      </c>
      <c r="AD25" s="80">
        <f t="shared" si="48"/>
        <v>0.15282113207547166</v>
      </c>
      <c r="AE25" s="85" t="str">
        <f t="shared" si="3"/>
        <v>MI</v>
      </c>
      <c r="AF25" s="82">
        <f t="shared" si="4"/>
        <v>0.59004628930817615</v>
      </c>
    </row>
    <row r="26" spans="1:32" ht="15.75" customHeight="1">
      <c r="A26" s="86" t="s">
        <v>59</v>
      </c>
      <c r="B26" s="33" t="s">
        <v>104</v>
      </c>
      <c r="C26" s="14">
        <f>VLOOKUP($A26,'Beef Animal Numbers'!$B$2:$I$54,2,FALSE)</f>
        <v>1039</v>
      </c>
      <c r="D26" s="14">
        <f>VLOOKUP($A26,'Beef Animal Numbers'!$B$2:$I$54,3,FALSE)</f>
        <v>2083</v>
      </c>
      <c r="E26" s="14">
        <f>VLOOKUP($A26,'Beef Animal Numbers'!$B$2:$I$54,5,FALSE)</f>
        <v>79</v>
      </c>
      <c r="F26" s="14">
        <f>VLOOKUP($A26,'Beef Animal Numbers'!$B$2:$I$54,6,FALSE)</f>
        <v>188</v>
      </c>
      <c r="G26" s="14">
        <f>VLOOKUP($A26,'Beef Animal Numbers'!$B$2:$I$54,7,FALSE)</f>
        <v>188</v>
      </c>
      <c r="H26" s="14">
        <f>VLOOKUP($A26,'Beef Animal Numbers'!$B$2:$I$54,8,FALSE)</f>
        <v>103</v>
      </c>
      <c r="I26" s="14">
        <f>VLOOKUP($A26,'Beef Animal Numbers'!$B$2:$I$54,4,FALSE)</f>
        <v>110</v>
      </c>
      <c r="J26" s="77">
        <f>( VLOOKUP($A26,'Beef diets'!$B$27:$J$76,2,FALSE)* 1000)/(C26*1000)</f>
        <v>8.759384023099134</v>
      </c>
      <c r="K26" s="78">
        <f>( VLOOKUP($A26,'Beef diets'!$B$27:$J$76,3,FALSE)* 1000)/(D26*1000)</f>
        <v>78.692750840134423</v>
      </c>
      <c r="L26" s="78">
        <f>( VLOOKUP($A26,'Beef diets'!$B$27:$J$76,4,FALSE)* 1000)/(E26*1000)</f>
        <v>49.696202531645568</v>
      </c>
      <c r="M26" s="78">
        <f>( VLOOKUP($A26,'Beef diets'!$B$27:$J$76,5,FALSE)* 1000)/(F26*1000)</f>
        <v>57.728723404255319</v>
      </c>
      <c r="N26" s="78">
        <f>( VLOOKUP($A26,'Beef diets'!$B$27:$J$76,6,FALSE)* 1000)/(G26*1000)</f>
        <v>48.382978723404257</v>
      </c>
      <c r="O26" s="78">
        <f>( VLOOKUP($A26,'Beef diets'!$B$27:$J$76,7,FALSE)* 1000)/(H26*1000)</f>
        <v>49.941747572815537</v>
      </c>
      <c r="P26" s="84">
        <f>( VLOOKUP($A26,'Beef diets'!$B$27:$J$76,8,FALSE)/(I26*1000) ) * 1000</f>
        <v>47.199999999999996</v>
      </c>
      <c r="Q26" s="50">
        <f t="shared" ref="Q26:V26" si="49">((J26* 0.065)/55.65) * 1000</f>
        <v>10.231086460043914</v>
      </c>
      <c r="R26" s="51">
        <f t="shared" si="49"/>
        <v>91.91426423375988</v>
      </c>
      <c r="S26" s="51">
        <f t="shared" si="49"/>
        <v>58.045878967780091</v>
      </c>
      <c r="T26" s="51">
        <f t="shared" si="49"/>
        <v>67.427978818986446</v>
      </c>
      <c r="U26" s="51">
        <f t="shared" si="49"/>
        <v>56.51201468142456</v>
      </c>
      <c r="V26" s="51">
        <f t="shared" si="49"/>
        <v>58.332679105714469</v>
      </c>
      <c r="W26" s="52">
        <f t="shared" si="1"/>
        <v>33.078167115902957</v>
      </c>
      <c r="X26" s="80">
        <f t="shared" ref="X26:AD26" si="50">((Q26*(C26*1000) ) * 28)/1000000/1000</f>
        <v>0.29764276729559752</v>
      </c>
      <c r="Y26" s="80">
        <f t="shared" si="50"/>
        <v>5.3608075471698111</v>
      </c>
      <c r="Z26" s="80">
        <f t="shared" si="50"/>
        <v>0.12839748427672956</v>
      </c>
      <c r="AA26" s="80">
        <f t="shared" si="50"/>
        <v>0.35494088050314465</v>
      </c>
      <c r="AB26" s="80">
        <f t="shared" si="50"/>
        <v>0.29747924528301889</v>
      </c>
      <c r="AC26" s="80">
        <f t="shared" si="50"/>
        <v>0.16823144654088054</v>
      </c>
      <c r="AD26" s="80">
        <f t="shared" si="50"/>
        <v>0.1018807547169811</v>
      </c>
      <c r="AE26" s="85" t="str">
        <f t="shared" si="3"/>
        <v>MO</v>
      </c>
      <c r="AF26" s="82">
        <f t="shared" si="4"/>
        <v>6.7093801257861623</v>
      </c>
    </row>
    <row r="27" spans="1:32" ht="15.75" customHeight="1">
      <c r="A27" s="86" t="s">
        <v>60</v>
      </c>
      <c r="B27" s="33" t="s">
        <v>104</v>
      </c>
      <c r="C27" s="14">
        <f>VLOOKUP($A27,'Beef Animal Numbers'!$B$2:$I$54,2,FALSE)</f>
        <v>240</v>
      </c>
      <c r="D27" s="14">
        <f>VLOOKUP($A27,'Beef Animal Numbers'!$B$2:$I$54,3,FALSE)</f>
        <v>482</v>
      </c>
      <c r="E27" s="14">
        <f>VLOOKUP($A27,'Beef Animal Numbers'!$B$2:$I$54,5,FALSE)</f>
        <v>21</v>
      </c>
      <c r="F27" s="14">
        <f>VLOOKUP($A27,'Beef Animal Numbers'!$B$2:$I$54,6,FALSE)</f>
        <v>50</v>
      </c>
      <c r="G27" s="14">
        <f>VLOOKUP($A27,'Beef Animal Numbers'!$B$2:$I$54,7,FALSE)</f>
        <v>27</v>
      </c>
      <c r="H27" s="14">
        <f>VLOOKUP($A27,'Beef Animal Numbers'!$B$2:$I$54,8,FALSE)</f>
        <v>20</v>
      </c>
      <c r="I27" s="14">
        <f>VLOOKUP($A27,'Beef Animal Numbers'!$B$2:$I$54,4,FALSE)</f>
        <v>7</v>
      </c>
      <c r="J27" s="77">
        <f>( VLOOKUP($A27,'Beef diets'!$B$27:$J$76,2,FALSE)* 1000)/(C27*1000)</f>
        <v>9.0083333333333329</v>
      </c>
      <c r="K27" s="78">
        <f>( VLOOKUP($A27,'Beef diets'!$B$27:$J$76,3,FALSE)* 1000)/(D27*1000)</f>
        <v>80.495850622406635</v>
      </c>
      <c r="L27" s="78">
        <f>( VLOOKUP($A27,'Beef diets'!$B$27:$J$76,4,FALSE)* 1000)/(E27*1000)</f>
        <v>51.523809523809526</v>
      </c>
      <c r="M27" s="78">
        <f>( VLOOKUP($A27,'Beef diets'!$B$27:$J$76,5,FALSE)* 1000)/(F27*1000)</f>
        <v>59.74</v>
      </c>
      <c r="N27" s="78">
        <f>( VLOOKUP($A27,'Beef diets'!$B$27:$J$76,6,FALSE)* 1000)/(G27*1000)</f>
        <v>48.888888888888886</v>
      </c>
      <c r="O27" s="78">
        <f>( VLOOKUP($A27,'Beef diets'!$B$27:$J$76,7,FALSE)* 1000)/(H27*1000)</f>
        <v>51.55</v>
      </c>
      <c r="P27" s="84">
        <f>( VLOOKUP($A27,'Beef diets'!$B$27:$J$76,8,FALSE)/(I27*1000) ) * 1000</f>
        <v>51.857142857142861</v>
      </c>
      <c r="Q27" s="50">
        <f t="shared" ref="Q27:V27" si="51">((J27* 0.065)/55.65) * 1000</f>
        <v>10.521862833183588</v>
      </c>
      <c r="R27" s="51">
        <f t="shared" si="51"/>
        <v>94.020310700025732</v>
      </c>
      <c r="S27" s="51">
        <f t="shared" si="51"/>
        <v>60.180550207504389</v>
      </c>
      <c r="T27" s="51">
        <f t="shared" si="51"/>
        <v>69.777178796046726</v>
      </c>
      <c r="U27" s="51">
        <f t="shared" si="51"/>
        <v>57.102925027453331</v>
      </c>
      <c r="V27" s="51">
        <f t="shared" si="51"/>
        <v>60.211141060197669</v>
      </c>
      <c r="W27" s="52">
        <f t="shared" si="1"/>
        <v>36.341932999614947</v>
      </c>
      <c r="X27" s="80">
        <f t="shared" ref="X27:AD27" si="52">((Q27*(C27*1000) ) * 28)/1000000/1000</f>
        <v>7.0706918238993721E-2</v>
      </c>
      <c r="Y27" s="80">
        <f t="shared" si="52"/>
        <v>1.2688981132075472</v>
      </c>
      <c r="Z27" s="80">
        <f t="shared" si="52"/>
        <v>3.5386163522012577E-2</v>
      </c>
      <c r="AA27" s="80">
        <f t="shared" si="52"/>
        <v>9.7688050314465411E-2</v>
      </c>
      <c r="AB27" s="80">
        <f t="shared" si="52"/>
        <v>4.3169811320754724E-2</v>
      </c>
      <c r="AC27" s="80">
        <f t="shared" si="52"/>
        <v>3.3718238993710702E-2</v>
      </c>
      <c r="AD27" s="80">
        <f t="shared" si="52"/>
        <v>7.1230188679245292E-3</v>
      </c>
      <c r="AE27" s="85" t="str">
        <f t="shared" si="3"/>
        <v>MS</v>
      </c>
      <c r="AF27" s="82">
        <f t="shared" si="4"/>
        <v>1.556690314465409</v>
      </c>
    </row>
    <row r="28" spans="1:32" ht="15.75" customHeight="1">
      <c r="A28" s="86" t="s">
        <v>61</v>
      </c>
      <c r="B28" s="33" t="s">
        <v>104</v>
      </c>
      <c r="C28" s="14">
        <f>VLOOKUP($A28,'Beef Animal Numbers'!$B$2:$I$54,2,FALSE)</f>
        <v>712</v>
      </c>
      <c r="D28" s="14">
        <f>VLOOKUP($A28,'Beef Animal Numbers'!$B$2:$I$54,3,FALSE)</f>
        <v>1428</v>
      </c>
      <c r="E28" s="14">
        <f>VLOOKUP($A28,'Beef Animal Numbers'!$B$2:$I$54,5,FALSE)</f>
        <v>92</v>
      </c>
      <c r="F28" s="14">
        <f>VLOOKUP($A28,'Beef Animal Numbers'!$B$2:$I$54,6,FALSE)</f>
        <v>218</v>
      </c>
      <c r="G28" s="14">
        <f>VLOOKUP($A28,'Beef Animal Numbers'!$B$2:$I$54,7,FALSE)</f>
        <v>115</v>
      </c>
      <c r="H28" s="14">
        <f>VLOOKUP($A28,'Beef Animal Numbers'!$B$2:$I$54,8,FALSE)</f>
        <v>107</v>
      </c>
      <c r="I28" s="14">
        <f>VLOOKUP($A28,'Beef Animal Numbers'!$B$2:$I$54,4,FALSE)</f>
        <v>49</v>
      </c>
      <c r="J28" s="77">
        <f>( VLOOKUP($A28,'Beef diets'!$B$27:$J$76,2,FALSE)* 1000)/(C28*1000)</f>
        <v>9.7092696629213489</v>
      </c>
      <c r="K28" s="78">
        <f>( VLOOKUP($A28,'Beef diets'!$B$27:$J$76,3,FALSE)* 1000)/(D28*1000)</f>
        <v>85.931372549019613</v>
      </c>
      <c r="L28" s="78">
        <f>( VLOOKUP($A28,'Beef diets'!$B$27:$J$76,4,FALSE)* 1000)/(E28*1000)</f>
        <v>54.989130434782609</v>
      </c>
      <c r="M28" s="78">
        <f>( VLOOKUP($A28,'Beef diets'!$B$27:$J$76,5,FALSE)* 1000)/(F28*1000)</f>
        <v>63.715596330275233</v>
      </c>
      <c r="N28" s="78">
        <f>( VLOOKUP($A28,'Beef diets'!$B$27:$J$76,6,FALSE)* 1000)/(G28*1000)</f>
        <v>53.243478260869566</v>
      </c>
      <c r="O28" s="78">
        <f>( VLOOKUP($A28,'Beef diets'!$B$27:$J$76,7,FALSE)* 1000)/(H28*1000)</f>
        <v>55.560747663551403</v>
      </c>
      <c r="P28" s="84">
        <f>( VLOOKUP($A28,'Beef diets'!$B$27:$J$76,8,FALSE)/(I28*1000) ) * 1000</f>
        <v>48.163265306122447</v>
      </c>
      <c r="Q28" s="50">
        <f t="shared" ref="Q28:V28" si="53">((J28* 0.065)/55.65) * 1000</f>
        <v>11.340566542495736</v>
      </c>
      <c r="R28" s="51">
        <f t="shared" si="53"/>
        <v>100.36907844898967</v>
      </c>
      <c r="S28" s="51">
        <f t="shared" si="53"/>
        <v>64.228094847454983</v>
      </c>
      <c r="T28" s="51">
        <f t="shared" si="53"/>
        <v>74.420732461237932</v>
      </c>
      <c r="U28" s="51">
        <f t="shared" si="53"/>
        <v>62.189148013594284</v>
      </c>
      <c r="V28" s="51">
        <f t="shared" si="53"/>
        <v>64.895751987975586</v>
      </c>
      <c r="W28" s="52">
        <f t="shared" si="1"/>
        <v>33.753231750921387</v>
      </c>
      <c r="X28" s="80">
        <f t="shared" ref="X28:AD28" si="54">((Q28*(C28*1000) ) * 28)/1000000/1000</f>
        <v>0.22608553459119501</v>
      </c>
      <c r="Y28" s="80">
        <f t="shared" si="54"/>
        <v>4.0131572327044029</v>
      </c>
      <c r="Z28" s="80">
        <f t="shared" si="54"/>
        <v>0.16545157232704402</v>
      </c>
      <c r="AA28" s="80">
        <f t="shared" si="54"/>
        <v>0.45426415094339634</v>
      </c>
      <c r="AB28" s="80">
        <f t="shared" si="54"/>
        <v>0.2002490566037736</v>
      </c>
      <c r="AC28" s="80">
        <f t="shared" si="54"/>
        <v>0.19442767295597485</v>
      </c>
      <c r="AD28" s="80">
        <f t="shared" si="54"/>
        <v>4.6309433962264147E-2</v>
      </c>
      <c r="AE28" s="85" t="str">
        <f t="shared" si="3"/>
        <v>MT</v>
      </c>
      <c r="AF28" s="82">
        <f t="shared" si="4"/>
        <v>5.2999446540880513</v>
      </c>
    </row>
    <row r="29" spans="1:32" ht="15.75" customHeight="1">
      <c r="A29" s="86" t="s">
        <v>62</v>
      </c>
      <c r="B29" s="33" t="s">
        <v>104</v>
      </c>
      <c r="C29" s="14">
        <f>VLOOKUP($A29,'Beef Animal Numbers'!$B$2:$I$54,2,FALSE)</f>
        <v>184</v>
      </c>
      <c r="D29" s="14">
        <f>VLOOKUP($A29,'Beef Animal Numbers'!$B$2:$I$54,3,FALSE)</f>
        <v>369</v>
      </c>
      <c r="E29" s="14">
        <f>VLOOKUP($A29,'Beef Animal Numbers'!$B$2:$I$54,5,FALSE)</f>
        <v>15</v>
      </c>
      <c r="F29" s="14">
        <f>VLOOKUP($A29,'Beef Animal Numbers'!$B$2:$I$54,6,FALSE)</f>
        <v>35</v>
      </c>
      <c r="G29" s="14">
        <f>VLOOKUP($A29,'Beef Animal Numbers'!$B$2:$I$54,7,FALSE)</f>
        <v>18</v>
      </c>
      <c r="H29" s="14">
        <f>VLOOKUP($A29,'Beef Animal Numbers'!$B$2:$I$54,8,FALSE)</f>
        <v>11</v>
      </c>
      <c r="I29" s="14">
        <f>VLOOKUP($A29,'Beef Animal Numbers'!$B$2:$I$54,4,FALSE)</f>
        <v>5</v>
      </c>
      <c r="J29" s="77">
        <f>( VLOOKUP($A29,'Beef diets'!$B$27:$J$76,2,FALSE)* 1000)/(C29*1000)</f>
        <v>8.9945652173913047</v>
      </c>
      <c r="K29" s="78">
        <f>( VLOOKUP($A29,'Beef diets'!$B$27:$J$76,3,FALSE)* 1000)/(D29*1000)</f>
        <v>80.495934959349597</v>
      </c>
      <c r="L29" s="78">
        <f>( VLOOKUP($A29,'Beef diets'!$B$27:$J$76,4,FALSE)* 1000)/(E29*1000)</f>
        <v>50.533333333333331</v>
      </c>
      <c r="M29" s="78">
        <f>( VLOOKUP($A29,'Beef diets'!$B$27:$J$76,5,FALSE)* 1000)/(F29*1000)</f>
        <v>59.74285714285714</v>
      </c>
      <c r="N29" s="78">
        <f>( VLOOKUP($A29,'Beef diets'!$B$27:$J$76,6,FALSE)* 1000)/(G29*1000)</f>
        <v>50.555555555555557</v>
      </c>
      <c r="O29" s="78">
        <f>( VLOOKUP($A29,'Beef diets'!$B$27:$J$76,7,FALSE)* 1000)/(H29*1000)</f>
        <v>50.18181818181818</v>
      </c>
      <c r="P29" s="84">
        <f>( VLOOKUP($A29,'Beef diets'!$B$27:$J$76,8,FALSE)/(I29*1000) ) * 1000</f>
        <v>45.400000000000006</v>
      </c>
      <c r="Q29" s="50">
        <f t="shared" ref="Q29:V29" si="55">((J29* 0.065)/55.65) * 1000</f>
        <v>10.505781475838901</v>
      </c>
      <c r="R29" s="51">
        <f t="shared" si="55"/>
        <v>94.020409206787491</v>
      </c>
      <c r="S29" s="51">
        <f t="shared" si="55"/>
        <v>59.023659778376768</v>
      </c>
      <c r="T29" s="51">
        <f t="shared" si="55"/>
        <v>69.780515979976911</v>
      </c>
      <c r="U29" s="51">
        <f t="shared" si="55"/>
        <v>59.049615653389246</v>
      </c>
      <c r="V29" s="51">
        <f t="shared" si="55"/>
        <v>58.61308502817937</v>
      </c>
      <c r="W29" s="52">
        <f t="shared" si="1"/>
        <v>31.816711590296496</v>
      </c>
      <c r="X29" s="80">
        <f t="shared" ref="X29:AD29" si="56">((Q29*(C29*1000) ) * 28)/1000000/1000</f>
        <v>5.4125786163522024E-2</v>
      </c>
      <c r="Y29" s="80">
        <f t="shared" si="56"/>
        <v>0.97141886792452825</v>
      </c>
      <c r="Z29" s="80">
        <f t="shared" si="56"/>
        <v>2.4789937106918243E-2</v>
      </c>
      <c r="AA29" s="80">
        <f t="shared" si="56"/>
        <v>6.8384905660377374E-2</v>
      </c>
      <c r="AB29" s="80">
        <f t="shared" si="56"/>
        <v>2.9761006289308185E-2</v>
      </c>
      <c r="AC29" s="80">
        <f t="shared" si="56"/>
        <v>1.8052830188679248E-2</v>
      </c>
      <c r="AD29" s="80">
        <f t="shared" si="56"/>
        <v>4.4543396226415094E-3</v>
      </c>
      <c r="AE29" s="85" t="str">
        <f t="shared" si="3"/>
        <v>NC</v>
      </c>
      <c r="AF29" s="82">
        <f t="shared" si="4"/>
        <v>1.1709876729559747</v>
      </c>
    </row>
    <row r="30" spans="1:32" ht="15.75" customHeight="1">
      <c r="A30" s="86" t="s">
        <v>63</v>
      </c>
      <c r="B30" s="33" t="s">
        <v>104</v>
      </c>
      <c r="C30" s="14">
        <f>VLOOKUP($A30,'Beef Animal Numbers'!$B$2:$I$54,2,FALSE)</f>
        <v>496</v>
      </c>
      <c r="D30" s="14">
        <f>VLOOKUP($A30,'Beef Animal Numbers'!$B$2:$I$54,3,FALSE)</f>
        <v>995</v>
      </c>
      <c r="E30" s="14">
        <f>VLOOKUP($A30,'Beef Animal Numbers'!$B$2:$I$54,5,FALSE)</f>
        <v>43</v>
      </c>
      <c r="F30" s="14">
        <f>VLOOKUP($A30,'Beef Animal Numbers'!$B$2:$I$54,6,FALSE)</f>
        <v>102</v>
      </c>
      <c r="G30" s="14">
        <f>VLOOKUP($A30,'Beef Animal Numbers'!$B$2:$I$54,7,FALSE)</f>
        <v>126</v>
      </c>
      <c r="H30" s="14">
        <f>VLOOKUP($A30,'Beef Animal Numbers'!$B$2:$I$54,8,FALSE)</f>
        <v>107</v>
      </c>
      <c r="I30" s="14">
        <f>VLOOKUP($A30,'Beef Animal Numbers'!$B$2:$I$54,4,FALSE)</f>
        <v>47</v>
      </c>
      <c r="J30" s="77">
        <f>( VLOOKUP($A30,'Beef diets'!$B$27:$J$76,2,FALSE)* 1000)/(C30*1000)</f>
        <v>8.7641129032258061</v>
      </c>
      <c r="K30" s="78">
        <f>( VLOOKUP($A30,'Beef diets'!$B$27:$J$76,3,FALSE)* 1000)/(D30*1000)</f>
        <v>78.69246231155779</v>
      </c>
      <c r="L30" s="78">
        <f>( VLOOKUP($A30,'Beef diets'!$B$27:$J$76,4,FALSE)* 1000)/(E30*1000)</f>
        <v>49.604651162790695</v>
      </c>
      <c r="M30" s="78">
        <f>( VLOOKUP($A30,'Beef diets'!$B$27:$J$76,5,FALSE)* 1000)/(F30*1000)</f>
        <v>57.803921568627452</v>
      </c>
      <c r="N30" s="78">
        <f>( VLOOKUP($A30,'Beef diets'!$B$27:$J$76,6,FALSE)* 1000)/(G30*1000)</f>
        <v>48.420634920634917</v>
      </c>
      <c r="O30" s="78">
        <f>( VLOOKUP($A30,'Beef diets'!$B$27:$J$76,7,FALSE)* 1000)/(H30*1000)</f>
        <v>50.261682242990652</v>
      </c>
      <c r="P30" s="84">
        <f>( VLOOKUP($A30,'Beef diets'!$B$27:$J$76,8,FALSE)/(I30*1000) ) * 1000</f>
        <v>42.170212765957451</v>
      </c>
      <c r="Q30" s="50">
        <f t="shared" ref="Q30:V30" si="57">((J30* 0.065)/55.65) * 1000</f>
        <v>10.236609860012173</v>
      </c>
      <c r="R30" s="51">
        <f t="shared" si="57"/>
        <v>91.913927228234613</v>
      </c>
      <c r="S30" s="51">
        <f t="shared" si="57"/>
        <v>57.93894565285526</v>
      </c>
      <c r="T30" s="51">
        <f t="shared" si="57"/>
        <v>67.515811355988944</v>
      </c>
      <c r="U30" s="51">
        <f t="shared" si="57"/>
        <v>56.555997661118958</v>
      </c>
      <c r="V30" s="51">
        <f t="shared" si="57"/>
        <v>58.706367399719547</v>
      </c>
      <c r="W30" s="52">
        <f t="shared" si="1"/>
        <v>29.553248838676382</v>
      </c>
      <c r="X30" s="80">
        <f t="shared" ref="X30:AD30" si="58">((Q30*(C30*1000) ) * 28)/1000000/1000</f>
        <v>0.14216603773584904</v>
      </c>
      <c r="Y30" s="80">
        <f t="shared" si="58"/>
        <v>2.5607220125786161</v>
      </c>
      <c r="Z30" s="80">
        <f t="shared" si="58"/>
        <v>6.9758490566037737E-2</v>
      </c>
      <c r="AA30" s="80">
        <f t="shared" si="58"/>
        <v>0.19282515723270444</v>
      </c>
      <c r="AB30" s="80">
        <f t="shared" si="58"/>
        <v>0.19952955974842768</v>
      </c>
      <c r="AC30" s="80">
        <f t="shared" si="58"/>
        <v>0.17588427672955975</v>
      </c>
      <c r="AD30" s="80">
        <f t="shared" si="58"/>
        <v>3.8892075471698123E-2</v>
      </c>
      <c r="AE30" s="85" t="str">
        <f t="shared" si="3"/>
        <v>ND</v>
      </c>
      <c r="AF30" s="82">
        <f t="shared" si="4"/>
        <v>3.3797776100628925</v>
      </c>
    </row>
    <row r="31" spans="1:32" ht="15.75" customHeight="1">
      <c r="A31" s="86" t="s">
        <v>64</v>
      </c>
      <c r="B31" s="33" t="s">
        <v>104</v>
      </c>
      <c r="C31" s="14">
        <f>VLOOKUP($A31,'Beef Animal Numbers'!$B$2:$I$54,2,FALSE)</f>
        <v>959</v>
      </c>
      <c r="D31" s="14">
        <f>VLOOKUP($A31,'Beef Animal Numbers'!$B$2:$I$54,3,FALSE)</f>
        <v>1922</v>
      </c>
      <c r="E31" s="14">
        <f>VLOOKUP($A31,'Beef Animal Numbers'!$B$2:$I$54,5,FALSE)</f>
        <v>87</v>
      </c>
      <c r="F31" s="14">
        <f>VLOOKUP($A31,'Beef Animal Numbers'!$B$2:$I$54,6,FALSE)</f>
        <v>207</v>
      </c>
      <c r="G31" s="14">
        <f>VLOOKUP($A31,'Beef Animal Numbers'!$B$2:$I$54,7,FALSE)</f>
        <v>1094</v>
      </c>
      <c r="H31" s="14">
        <f>VLOOKUP($A31,'Beef Animal Numbers'!$B$2:$I$54,8,FALSE)</f>
        <v>700</v>
      </c>
      <c r="I31" s="14">
        <f>VLOOKUP($A31,'Beef Animal Numbers'!$B$2:$I$54,4,FALSE)</f>
        <v>2694</v>
      </c>
      <c r="J31" s="77">
        <f>( VLOOKUP($A31,'Beef diets'!$B$27:$J$76,2,FALSE)* 1000)/(C31*1000)</f>
        <v>8.7570385818561007</v>
      </c>
      <c r="K31" s="78">
        <f>( VLOOKUP($A31,'Beef diets'!$B$27:$J$76,3,FALSE)* 1000)/(D31*1000)</f>
        <v>78.693028095733609</v>
      </c>
      <c r="L31" s="78">
        <f>( VLOOKUP($A31,'Beef diets'!$B$27:$J$76,4,FALSE)* 1000)/(E31*1000)</f>
        <v>49.839080459770116</v>
      </c>
      <c r="M31" s="78">
        <f>( VLOOKUP($A31,'Beef diets'!$B$27:$J$76,5,FALSE)* 1000)/(F31*1000)</f>
        <v>57.908212560386474</v>
      </c>
      <c r="N31" s="78">
        <f>( VLOOKUP($A31,'Beef diets'!$B$27:$J$76,6,FALSE)* 1000)/(G31*1000)</f>
        <v>48.264168190127968</v>
      </c>
      <c r="O31" s="78">
        <f>( VLOOKUP($A31,'Beef diets'!$B$27:$J$76,7,FALSE)* 1000)/(H31*1000)</f>
        <v>50.10285714285714</v>
      </c>
      <c r="P31" s="84">
        <f>( VLOOKUP($A31,'Beef diets'!$B$27:$J$76,8,FALSE)/(I31*1000) ) * 1000</f>
        <v>45.554936896807725</v>
      </c>
      <c r="Q31" s="50">
        <f t="shared" ref="Q31:V31" si="59">((J31* 0.065)/55.65) * 1000</f>
        <v>10.228346950955016</v>
      </c>
      <c r="R31" s="51">
        <f t="shared" si="59"/>
        <v>91.91458807228544</v>
      </c>
      <c r="S31" s="51">
        <f t="shared" si="59"/>
        <v>58.212762441780008</v>
      </c>
      <c r="T31" s="51">
        <f t="shared" si="59"/>
        <v>67.637624733605051</v>
      </c>
      <c r="U31" s="51">
        <f t="shared" si="59"/>
        <v>56.373242270589721</v>
      </c>
      <c r="V31" s="51">
        <f t="shared" si="59"/>
        <v>58.520857399563603</v>
      </c>
      <c r="W31" s="52">
        <f t="shared" si="1"/>
        <v>31.925292703962285</v>
      </c>
      <c r="X31" s="80">
        <f t="shared" ref="X31:AD31" si="60">((Q31*(C31*1000) ) * 28)/1000000/1000</f>
        <v>0.27465157232704412</v>
      </c>
      <c r="Y31" s="80">
        <f t="shared" si="60"/>
        <v>4.946475471698113</v>
      </c>
      <c r="Z31" s="80">
        <f t="shared" si="60"/>
        <v>0.1418062893081761</v>
      </c>
      <c r="AA31" s="80">
        <f t="shared" si="60"/>
        <v>0.3920276729559749</v>
      </c>
      <c r="AB31" s="80">
        <f t="shared" si="60"/>
        <v>1.7268251572327042</v>
      </c>
      <c r="AC31" s="80">
        <f t="shared" si="60"/>
        <v>1.1470088050314464</v>
      </c>
      <c r="AD31" s="80">
        <f t="shared" si="60"/>
        <v>2.4081886792452831</v>
      </c>
      <c r="AE31" s="85" t="str">
        <f t="shared" si="3"/>
        <v>NE</v>
      </c>
      <c r="AF31" s="82">
        <f t="shared" si="4"/>
        <v>11.036983647798742</v>
      </c>
    </row>
    <row r="32" spans="1:32" ht="15.75" customHeight="1">
      <c r="A32" s="86" t="s">
        <v>65</v>
      </c>
      <c r="B32" s="33" t="s">
        <v>104</v>
      </c>
      <c r="C32" s="14">
        <f>VLOOKUP($A32,'Beef Animal Numbers'!$B$2:$I$54,2,FALSE)</f>
        <v>2</v>
      </c>
      <c r="D32" s="14">
        <f>VLOOKUP($A32,'Beef Animal Numbers'!$B$2:$I$54,3,FALSE)</f>
        <v>4</v>
      </c>
      <c r="E32" s="14">
        <f>VLOOKUP($A32,'Beef Animal Numbers'!$B$2:$I$54,5,FALSE)</f>
        <v>0</v>
      </c>
      <c r="F32" s="14">
        <f>VLOOKUP($A32,'Beef Animal Numbers'!$B$2:$I$54,6,FALSE)</f>
        <v>1</v>
      </c>
      <c r="G32" s="14">
        <f>VLOOKUP($A32,'Beef Animal Numbers'!$B$2:$I$54,7,FALSE)</f>
        <v>1</v>
      </c>
      <c r="H32" s="14">
        <f>VLOOKUP($A32,'Beef Animal Numbers'!$B$2:$I$54,8,FALSE)</f>
        <v>0</v>
      </c>
      <c r="I32" s="14">
        <f>VLOOKUP($A32,'Beef Animal Numbers'!$B$2:$I$54,4,FALSE)</f>
        <v>0</v>
      </c>
      <c r="J32" s="77">
        <f>( VLOOKUP($A32,'Beef diets'!$B$27:$J$76,2,FALSE)* 1000)/(C32*1000)</f>
        <v>9</v>
      </c>
      <c r="K32" s="78">
        <f>( VLOOKUP($A32,'Beef diets'!$B$27:$J$76,3,FALSE)* 1000)/(D32*1000)</f>
        <v>80.75</v>
      </c>
      <c r="L32" s="78" t="e">
        <f>( VLOOKUP($A32,'Beef diets'!$B$27:$J$76,4,FALSE)* 1000)/(E32*1000)</f>
        <v>#DIV/0!</v>
      </c>
      <c r="M32" s="78">
        <f>( VLOOKUP($A32,'Beef diets'!$B$27:$J$76,5,FALSE)* 1000)/(F32*1000)</f>
        <v>43</v>
      </c>
      <c r="N32" s="78">
        <f>( VLOOKUP($A32,'Beef diets'!$B$27:$J$76,6,FALSE)* 1000)/(G32*1000)</f>
        <v>34</v>
      </c>
      <c r="O32" s="78" t="e">
        <f>( VLOOKUP($A32,'Beef diets'!$B$27:$J$76,7,FALSE)* 1000)/(H32*1000)</f>
        <v>#DIV/0!</v>
      </c>
      <c r="P32" s="84" t="e">
        <f>( VLOOKUP($A32,'Beef diets'!$B$27:$J$76,8,FALSE)/(I32*1000) ) * 1000</f>
        <v>#DIV/0!</v>
      </c>
      <c r="Q32" s="50">
        <f t="shared" ref="Q32:V32" si="61">((J32* 0.065)/55.65) * 1000</f>
        <v>10.512129380053908</v>
      </c>
      <c r="R32" s="51">
        <f t="shared" si="61"/>
        <v>94.317160826594787</v>
      </c>
      <c r="S32" s="51" t="e">
        <f t="shared" si="61"/>
        <v>#DIV/0!</v>
      </c>
      <c r="T32" s="51">
        <f t="shared" si="61"/>
        <v>50.224618149146451</v>
      </c>
      <c r="U32" s="51">
        <f t="shared" si="61"/>
        <v>39.712488769092545</v>
      </c>
      <c r="V32" s="51" t="e">
        <f t="shared" si="61"/>
        <v>#DIV/0!</v>
      </c>
      <c r="W32" s="52" t="e">
        <f t="shared" si="1"/>
        <v>#DIV/0!</v>
      </c>
      <c r="X32" s="80">
        <f t="shared" ref="X32:Y32" si="62">((Q32*(C32*1000) ) * 28)/1000000/1000</f>
        <v>5.8867924528301888E-4</v>
      </c>
      <c r="Y32" s="80">
        <f t="shared" si="62"/>
        <v>1.0563522012578616E-2</v>
      </c>
      <c r="Z32" s="80" t="s">
        <v>105</v>
      </c>
      <c r="AA32" s="80">
        <f t="shared" ref="AA32:AB32" si="63">((T32*(F32*1000) ) * 28)/1000000/1000</f>
        <v>1.4062893081761008E-3</v>
      </c>
      <c r="AB32" s="80">
        <f t="shared" si="63"/>
        <v>1.1119496855345914E-3</v>
      </c>
      <c r="AC32" s="80" t="s">
        <v>105</v>
      </c>
      <c r="AD32" s="80" t="s">
        <v>105</v>
      </c>
      <c r="AE32" s="85" t="str">
        <f t="shared" si="3"/>
        <v>NH</v>
      </c>
      <c r="AF32" s="82">
        <f t="shared" si="4"/>
        <v>1.3670440251572328E-2</v>
      </c>
    </row>
    <row r="33" spans="1:32" ht="15.75" customHeight="1">
      <c r="A33" s="86" t="s">
        <v>66</v>
      </c>
      <c r="B33" s="33" t="s">
        <v>104</v>
      </c>
      <c r="C33" s="14">
        <f>VLOOKUP($A33,'Beef Animal Numbers'!$B$2:$I$54,2,FALSE)</f>
        <v>5</v>
      </c>
      <c r="D33" s="14">
        <f>VLOOKUP($A33,'Beef Animal Numbers'!$B$2:$I$54,3,FALSE)</f>
        <v>9</v>
      </c>
      <c r="E33" s="14">
        <f>VLOOKUP($A33,'Beef Animal Numbers'!$B$2:$I$54,5,FALSE)</f>
        <v>1</v>
      </c>
      <c r="F33" s="14">
        <f>VLOOKUP($A33,'Beef Animal Numbers'!$B$2:$I$54,6,FALSE)</f>
        <v>1</v>
      </c>
      <c r="G33" s="14">
        <f>VLOOKUP($A33,'Beef Animal Numbers'!$B$2:$I$54,7,FALSE)</f>
        <v>1</v>
      </c>
      <c r="H33" s="14">
        <f>VLOOKUP($A33,'Beef Animal Numbers'!$B$2:$I$54,8,FALSE)</f>
        <v>1</v>
      </c>
      <c r="I33" s="14">
        <f>VLOOKUP($A33,'Beef Animal Numbers'!$B$2:$I$54,4,FALSE)</f>
        <v>0</v>
      </c>
      <c r="J33" s="77">
        <f>( VLOOKUP($A33,'Beef diets'!$B$27:$J$76,2,FALSE)* 1000)/(C33*1000)</f>
        <v>8.4</v>
      </c>
      <c r="K33" s="78">
        <f>( VLOOKUP($A33,'Beef diets'!$B$27:$J$76,3,FALSE)* 1000)/(D33*1000)</f>
        <v>83.444444444444443</v>
      </c>
      <c r="L33" s="78">
        <f>( VLOOKUP($A33,'Beef diets'!$B$27:$J$76,4,FALSE)* 1000)/(E33*1000)</f>
        <v>27</v>
      </c>
      <c r="M33" s="78">
        <f>( VLOOKUP($A33,'Beef diets'!$B$27:$J$76,5,FALSE)* 1000)/(F33*1000)</f>
        <v>73</v>
      </c>
      <c r="N33" s="78">
        <f>( VLOOKUP($A33,'Beef diets'!$B$27:$J$76,6,FALSE)* 1000)/(G33*1000)</f>
        <v>46</v>
      </c>
      <c r="O33" s="78">
        <f>( VLOOKUP($A33,'Beef diets'!$B$27:$J$76,7,FALSE)* 1000)/(H33*1000)</f>
        <v>29</v>
      </c>
      <c r="P33" s="84" t="e">
        <f>( VLOOKUP($A33,'Beef diets'!$B$27:$J$76,8,FALSE)/(I33*1000) ) * 1000</f>
        <v>#DIV/0!</v>
      </c>
      <c r="Q33" s="50">
        <f t="shared" ref="Q33:V33" si="64">((J33* 0.065)/55.65) * 1000</f>
        <v>9.8113207547169825</v>
      </c>
      <c r="R33" s="51">
        <f t="shared" si="64"/>
        <v>97.464310671857831</v>
      </c>
      <c r="S33" s="51">
        <f t="shared" si="64"/>
        <v>31.536388140161726</v>
      </c>
      <c r="T33" s="51">
        <f t="shared" si="64"/>
        <v>85.26504941599282</v>
      </c>
      <c r="U33" s="51">
        <f t="shared" si="64"/>
        <v>53.728661275831094</v>
      </c>
      <c r="V33" s="51">
        <f t="shared" si="64"/>
        <v>33.872416891284821</v>
      </c>
      <c r="W33" s="52" t="e">
        <f t="shared" si="1"/>
        <v>#DIV/0!</v>
      </c>
      <c r="X33" s="80">
        <f t="shared" ref="X33:AC33" si="65">((Q33*(C33*1000) ) * 28)/1000000/1000</f>
        <v>1.3735849056603774E-3</v>
      </c>
      <c r="Y33" s="80">
        <f t="shared" si="65"/>
        <v>2.4561006289308171E-2</v>
      </c>
      <c r="Z33" s="80">
        <f t="shared" si="65"/>
        <v>8.8301886792452832E-4</v>
      </c>
      <c r="AA33" s="80">
        <f t="shared" si="65"/>
        <v>2.3874213836477991E-3</v>
      </c>
      <c r="AB33" s="80">
        <f t="shared" si="65"/>
        <v>1.5044025157232705E-3</v>
      </c>
      <c r="AC33" s="80">
        <f t="shared" si="65"/>
        <v>9.4842767295597497E-4</v>
      </c>
      <c r="AD33" s="80" t="s">
        <v>105</v>
      </c>
      <c r="AE33" s="85" t="str">
        <f t="shared" si="3"/>
        <v>NJ</v>
      </c>
      <c r="AF33" s="82">
        <f t="shared" si="4"/>
        <v>3.1657861635220122E-2</v>
      </c>
    </row>
    <row r="34" spans="1:32" ht="15.75" customHeight="1">
      <c r="A34" s="87" t="s">
        <v>67</v>
      </c>
      <c r="B34" s="33" t="s">
        <v>104</v>
      </c>
      <c r="C34" s="14">
        <f>VLOOKUP($A34,'Beef Animal Numbers'!$B$2:$I$54,2,FALSE)</f>
        <v>239</v>
      </c>
      <c r="D34" s="14">
        <f>VLOOKUP($A34,'Beef Animal Numbers'!$B$2:$I$54,3,FALSE)</f>
        <v>480</v>
      </c>
      <c r="E34" s="14">
        <f>VLOOKUP($A34,'Beef Animal Numbers'!$B$2:$I$54,5,FALSE)</f>
        <v>19</v>
      </c>
      <c r="F34" s="14">
        <f>VLOOKUP($A34,'Beef Animal Numbers'!$B$2:$I$54,6,FALSE)</f>
        <v>45</v>
      </c>
      <c r="G34" s="14">
        <f>VLOOKUP($A34,'Beef Animal Numbers'!$B$2:$I$54,7,FALSE)</f>
        <v>46</v>
      </c>
      <c r="H34" s="14">
        <f>VLOOKUP($A34,'Beef Animal Numbers'!$B$2:$I$54,8,FALSE)</f>
        <v>37</v>
      </c>
      <c r="I34" s="14">
        <f>VLOOKUP($A34,'Beef Animal Numbers'!$B$2:$I$54,4,FALSE)</f>
        <v>14</v>
      </c>
      <c r="J34" s="77">
        <f>( VLOOKUP($A34,'Beef diets'!$B$27:$J$76,2,FALSE)* 1000)/(C34*1000)</f>
        <v>9.7238493723849366</v>
      </c>
      <c r="K34" s="78">
        <f>( VLOOKUP($A34,'Beef diets'!$B$27:$J$76,3,FALSE)* 1000)/(D34*1000)</f>
        <v>85.931250000000006</v>
      </c>
      <c r="L34" s="78">
        <f>( VLOOKUP($A34,'Beef diets'!$B$27:$J$76,4,FALSE)* 1000)/(E34*1000)</f>
        <v>54.631578947368418</v>
      </c>
      <c r="M34" s="78">
        <f>( VLOOKUP($A34,'Beef diets'!$B$27:$J$76,5,FALSE)* 1000)/(F34*1000)</f>
        <v>63.31111111111111</v>
      </c>
      <c r="N34" s="78">
        <f>( VLOOKUP($A34,'Beef diets'!$B$27:$J$76,6,FALSE)* 1000)/(G34*1000)</f>
        <v>53.239130434782609</v>
      </c>
      <c r="O34" s="78">
        <f>( VLOOKUP($A34,'Beef diets'!$B$27:$J$76,7,FALSE)* 1000)/(H34*1000)</f>
        <v>55.891891891891895</v>
      </c>
      <c r="P34" s="84">
        <f>( VLOOKUP($A34,'Beef diets'!$B$27:$J$76,8,FALSE)/(I34*1000) ) * 1000</f>
        <v>46.285714285714285</v>
      </c>
      <c r="Q34" s="50">
        <f t="shared" ref="Q34:V34" si="66">((J34* 0.065)/55.65) * 1000</f>
        <v>11.357595852740717</v>
      </c>
      <c r="R34" s="51">
        <f t="shared" si="66"/>
        <v>100.36893530997307</v>
      </c>
      <c r="S34" s="51">
        <f t="shared" si="66"/>
        <v>63.810469570151795</v>
      </c>
      <c r="T34" s="51">
        <f t="shared" si="66"/>
        <v>73.948287910552068</v>
      </c>
      <c r="U34" s="51">
        <f t="shared" si="66"/>
        <v>62.18406969022228</v>
      </c>
      <c r="V34" s="51">
        <f t="shared" si="66"/>
        <v>65.282533207061519</v>
      </c>
      <c r="W34" s="52">
        <f t="shared" si="1"/>
        <v>32.437427801309205</v>
      </c>
      <c r="X34" s="80">
        <f t="shared" ref="X34:AD34" si="67">((Q34*(C34*1000) ) * 28)/1000000/1000</f>
        <v>7.6005031446540888E-2</v>
      </c>
      <c r="Y34" s="80">
        <f t="shared" si="67"/>
        <v>1.3489584905660379</v>
      </c>
      <c r="Z34" s="80">
        <f t="shared" si="67"/>
        <v>3.394716981132076E-2</v>
      </c>
      <c r="AA34" s="80">
        <f t="shared" si="67"/>
        <v>9.3174842767295596E-2</v>
      </c>
      <c r="AB34" s="80">
        <f t="shared" si="67"/>
        <v>8.0093081761006282E-2</v>
      </c>
      <c r="AC34" s="80">
        <f t="shared" si="67"/>
        <v>6.7632704402515745E-2</v>
      </c>
      <c r="AD34" s="80">
        <f t="shared" si="67"/>
        <v>1.2715471698113207E-2</v>
      </c>
      <c r="AE34" s="85" t="str">
        <f t="shared" si="3"/>
        <v>NM</v>
      </c>
      <c r="AF34" s="82">
        <f t="shared" si="4"/>
        <v>1.7125267924528305</v>
      </c>
    </row>
    <row r="35" spans="1:32" ht="15.75" customHeight="1">
      <c r="A35" s="87" t="s">
        <v>68</v>
      </c>
      <c r="B35" s="33" t="s">
        <v>104</v>
      </c>
      <c r="C35" s="14">
        <f>VLOOKUP($A35,'Beef Animal Numbers'!$B$2:$I$54,2,FALSE)</f>
        <v>124</v>
      </c>
      <c r="D35" s="14">
        <f>VLOOKUP($A35,'Beef Animal Numbers'!$B$2:$I$54,3,FALSE)</f>
        <v>249</v>
      </c>
      <c r="E35" s="14">
        <f>VLOOKUP($A35,'Beef Animal Numbers'!$B$2:$I$54,5,FALSE)</f>
        <v>10</v>
      </c>
      <c r="F35" s="14">
        <f>VLOOKUP($A35,'Beef Animal Numbers'!$B$2:$I$54,6,FALSE)</f>
        <v>25</v>
      </c>
      <c r="G35" s="14">
        <f>VLOOKUP($A35,'Beef Animal Numbers'!$B$2:$I$54,7,FALSE)</f>
        <v>18</v>
      </c>
      <c r="H35" s="14">
        <f>VLOOKUP($A35,'Beef Animal Numbers'!$B$2:$I$54,8,FALSE)</f>
        <v>15</v>
      </c>
      <c r="I35" s="14">
        <f>VLOOKUP($A35,'Beef Animal Numbers'!$B$2:$I$54,4,FALSE)</f>
        <v>3</v>
      </c>
      <c r="J35" s="77">
        <f>( VLOOKUP($A35,'Beef diets'!$B$27:$J$76,2,FALSE)* 1000)/(C35*1000)</f>
        <v>9.7177419354838701</v>
      </c>
      <c r="K35" s="78">
        <f>( VLOOKUP($A35,'Beef diets'!$B$27:$J$76,3,FALSE)* 1000)/(D35*1000)</f>
        <v>85.931726907630519</v>
      </c>
      <c r="L35" s="78">
        <f>( VLOOKUP($A35,'Beef diets'!$B$27:$J$76,4,FALSE)* 1000)/(E35*1000)</f>
        <v>57.1</v>
      </c>
      <c r="M35" s="78">
        <f>( VLOOKUP($A35,'Beef diets'!$B$27:$J$76,5,FALSE)* 1000)/(F35*1000)</f>
        <v>62.68</v>
      </c>
      <c r="N35" s="78">
        <f>( VLOOKUP($A35,'Beef diets'!$B$27:$J$76,6,FALSE)* 1000)/(G35*1000)</f>
        <v>54.444444444444443</v>
      </c>
      <c r="O35" s="78">
        <f>( VLOOKUP($A35,'Beef diets'!$B$27:$J$76,7,FALSE)* 1000)/(H35*1000)</f>
        <v>56.866666666666667</v>
      </c>
      <c r="P35" s="84">
        <f>( VLOOKUP($A35,'Beef diets'!$B$27:$J$76,8,FALSE)/(I35*1000) ) * 1000</f>
        <v>47.333333333333329</v>
      </c>
      <c r="Q35" s="50">
        <f t="shared" ref="Q35:V35" si="68">((J35* 0.065)/55.65) * 1000</f>
        <v>11.350462278642436</v>
      </c>
      <c r="R35" s="51">
        <f t="shared" si="68"/>
        <v>100.36949234494132</v>
      </c>
      <c r="S35" s="51">
        <f t="shared" si="68"/>
        <v>66.693620844564251</v>
      </c>
      <c r="T35" s="51">
        <f t="shared" si="68"/>
        <v>73.211141060197676</v>
      </c>
      <c r="U35" s="51">
        <f t="shared" si="68"/>
        <v>63.591893780573017</v>
      </c>
      <c r="V35" s="51">
        <f t="shared" si="68"/>
        <v>66.421084156933219</v>
      </c>
      <c r="W35" s="52">
        <f t="shared" si="1"/>
        <v>33.171608265947889</v>
      </c>
      <c r="X35" s="80">
        <f t="shared" ref="X35:AD35" si="69">((Q35*(C35*1000) ) * 28)/1000000/1000</f>
        <v>3.9408805031446538E-2</v>
      </c>
      <c r="Y35" s="80">
        <f t="shared" si="69"/>
        <v>0.69977610062893081</v>
      </c>
      <c r="Z35" s="80">
        <f t="shared" si="69"/>
        <v>1.8674213836477993E-2</v>
      </c>
      <c r="AA35" s="80">
        <f t="shared" si="69"/>
        <v>5.1247798742138376E-2</v>
      </c>
      <c r="AB35" s="80">
        <f t="shared" si="69"/>
        <v>3.2050314465408798E-2</v>
      </c>
      <c r="AC35" s="80">
        <f t="shared" si="69"/>
        <v>2.789685534591195E-2</v>
      </c>
      <c r="AD35" s="80">
        <f t="shared" si="69"/>
        <v>2.7864150943396225E-3</v>
      </c>
      <c r="AE35" s="85" t="str">
        <f t="shared" si="3"/>
        <v>NV</v>
      </c>
      <c r="AF35" s="82">
        <f t="shared" si="4"/>
        <v>0.87184050314465411</v>
      </c>
    </row>
    <row r="36" spans="1:32" ht="15.75" customHeight="1">
      <c r="A36" s="87" t="s">
        <v>69</v>
      </c>
      <c r="B36" s="33" t="s">
        <v>104</v>
      </c>
      <c r="C36" s="14">
        <f>VLOOKUP($A36,'Beef Animal Numbers'!$B$2:$I$54,2,FALSE)</f>
        <v>149</v>
      </c>
      <c r="D36" s="14">
        <f>VLOOKUP($A36,'Beef Animal Numbers'!$B$2:$I$54,3,FALSE)</f>
        <v>298</v>
      </c>
      <c r="E36" s="14">
        <f>VLOOKUP($A36,'Beef Animal Numbers'!$B$2:$I$54,5,FALSE)</f>
        <v>16</v>
      </c>
      <c r="F36" s="14">
        <f>VLOOKUP($A36,'Beef Animal Numbers'!$B$2:$I$54,6,FALSE)</f>
        <v>39</v>
      </c>
      <c r="G36" s="14">
        <f>VLOOKUP($A36,'Beef Animal Numbers'!$B$2:$I$54,7,FALSE)</f>
        <v>101</v>
      </c>
      <c r="H36" s="14">
        <f>VLOOKUP($A36,'Beef Animal Numbers'!$B$2:$I$54,8,FALSE)</f>
        <v>30</v>
      </c>
      <c r="I36" s="14">
        <f>VLOOKUP($A36,'Beef Animal Numbers'!$B$2:$I$54,4,FALSE)</f>
        <v>169</v>
      </c>
      <c r="J36" s="77">
        <f>( VLOOKUP($A36,'Beef diets'!$B$27:$J$76,2,FALSE)* 1000)/(C36*1000)</f>
        <v>8.7382550335570475</v>
      </c>
      <c r="K36" s="78">
        <f>( VLOOKUP($A36,'Beef diets'!$B$27:$J$76,3,FALSE)* 1000)/(D36*1000)</f>
        <v>78.691275167785236</v>
      </c>
      <c r="L36" s="78">
        <f>( VLOOKUP($A36,'Beef diets'!$B$27:$J$76,4,FALSE)* 1000)/(E36*1000)</f>
        <v>51.25</v>
      </c>
      <c r="M36" s="78">
        <f>( VLOOKUP($A36,'Beef diets'!$B$27:$J$76,5,FALSE)* 1000)/(F36*1000)</f>
        <v>58.153846153846153</v>
      </c>
      <c r="N36" s="78">
        <f>( VLOOKUP($A36,'Beef diets'!$B$27:$J$76,6,FALSE)* 1000)/(G36*1000)</f>
        <v>48.32673267326733</v>
      </c>
      <c r="O36" s="78">
        <f>( VLOOKUP($A36,'Beef diets'!$B$27:$J$76,7,FALSE)* 1000)/(H36*1000)</f>
        <v>50.666666666666664</v>
      </c>
      <c r="P36" s="84">
        <f>( VLOOKUP($A36,'Beef diets'!$B$27:$J$76,8,FALSE)/(I36*1000) ) * 1000</f>
        <v>47.479289940828401</v>
      </c>
      <c r="Q36" s="50">
        <f t="shared" ref="Q36:V36" si="70">((J36* 0.065)/55.65) * 1000</f>
        <v>10.206407496517667</v>
      </c>
      <c r="R36" s="51">
        <f t="shared" si="70"/>
        <v>91.912540627242421</v>
      </c>
      <c r="S36" s="51">
        <f t="shared" si="70"/>
        <v>59.860736747529209</v>
      </c>
      <c r="T36" s="51">
        <f t="shared" si="70"/>
        <v>67.924528301886809</v>
      </c>
      <c r="U36" s="51">
        <f t="shared" si="70"/>
        <v>56.446318486296079</v>
      </c>
      <c r="V36" s="51">
        <f t="shared" si="70"/>
        <v>59.17939502845163</v>
      </c>
      <c r="W36" s="52">
        <f t="shared" si="1"/>
        <v>33.273895915405355</v>
      </c>
      <c r="X36" s="80">
        <f t="shared" ref="X36:AD36" si="71">((Q36*(C36*1000) ) * 28)/1000000/1000</f>
        <v>4.2581132075471706E-2</v>
      </c>
      <c r="Y36" s="80">
        <f t="shared" si="71"/>
        <v>0.7669182389937107</v>
      </c>
      <c r="Z36" s="80">
        <f t="shared" si="71"/>
        <v>2.6817610062893085E-2</v>
      </c>
      <c r="AA36" s="80">
        <f t="shared" si="71"/>
        <v>7.4173584905660395E-2</v>
      </c>
      <c r="AB36" s="80">
        <f t="shared" si="71"/>
        <v>0.15963018867924533</v>
      </c>
      <c r="AC36" s="80">
        <f t="shared" si="71"/>
        <v>4.9710691823899367E-2</v>
      </c>
      <c r="AD36" s="80">
        <f t="shared" si="71"/>
        <v>0.15745207547169812</v>
      </c>
      <c r="AE36" s="85" t="str">
        <f t="shared" si="3"/>
        <v>OH</v>
      </c>
      <c r="AF36" s="82">
        <f t="shared" si="4"/>
        <v>1.2772835220125789</v>
      </c>
    </row>
    <row r="37" spans="1:32" ht="15.75" customHeight="1">
      <c r="A37" s="87" t="s">
        <v>70</v>
      </c>
      <c r="B37" s="33" t="s">
        <v>104</v>
      </c>
      <c r="C37" s="14">
        <f>VLOOKUP($A37,'Beef Animal Numbers'!$B$2:$I$54,2,FALSE)</f>
        <v>1052</v>
      </c>
      <c r="D37" s="14">
        <f>VLOOKUP($A37,'Beef Animal Numbers'!$B$2:$I$54,3,FALSE)</f>
        <v>2109</v>
      </c>
      <c r="E37" s="14">
        <f>VLOOKUP($A37,'Beef Animal Numbers'!$B$2:$I$54,5,FALSE)</f>
        <v>87</v>
      </c>
      <c r="F37" s="14">
        <f>VLOOKUP($A37,'Beef Animal Numbers'!$B$2:$I$54,6,FALSE)</f>
        <v>207</v>
      </c>
      <c r="G37" s="14">
        <f>VLOOKUP($A37,'Beef Animal Numbers'!$B$2:$I$54,7,FALSE)</f>
        <v>464</v>
      </c>
      <c r="H37" s="14">
        <f>VLOOKUP($A37,'Beef Animal Numbers'!$B$2:$I$54,8,FALSE)</f>
        <v>247</v>
      </c>
      <c r="I37" s="14">
        <f>VLOOKUP($A37,'Beef Animal Numbers'!$B$2:$I$54,4,FALSE)</f>
        <v>346</v>
      </c>
      <c r="J37" s="77">
        <f>( VLOOKUP($A37,'Beef diets'!$B$27:$J$76,2,FALSE)* 1000)/(C37*1000)</f>
        <v>8.9904942965779462</v>
      </c>
      <c r="K37" s="78">
        <f>( VLOOKUP($A37,'Beef diets'!$B$27:$J$76,3,FALSE)* 1000)/(D37*1000)</f>
        <v>80.495021337126602</v>
      </c>
      <c r="L37" s="78">
        <f>( VLOOKUP($A37,'Beef diets'!$B$27:$J$76,4,FALSE)* 1000)/(E37*1000)</f>
        <v>51.149425287356323</v>
      </c>
      <c r="M37" s="78">
        <f>( VLOOKUP($A37,'Beef diets'!$B$27:$J$76,5,FALSE)* 1000)/(F37*1000)</f>
        <v>59.328502415458935</v>
      </c>
      <c r="N37" s="78">
        <f>( VLOOKUP($A37,'Beef diets'!$B$27:$J$76,6,FALSE)* 1000)/(G37*1000)</f>
        <v>49.525862068965516</v>
      </c>
      <c r="O37" s="78">
        <f>( VLOOKUP($A37,'Beef diets'!$B$27:$J$76,7,FALSE)* 1000)/(H37*1000)</f>
        <v>51.469635627530366</v>
      </c>
      <c r="P37" s="84">
        <f>( VLOOKUP($A37,'Beef diets'!$B$27:$J$76,8,FALSE)/(I37*1000) ) * 1000</f>
        <v>46.384393063583815</v>
      </c>
      <c r="Q37" s="50">
        <f t="shared" ref="Q37:V37" si="72">((J37* 0.065)/55.65) * 1000</f>
        <v>10.501026581807125</v>
      </c>
      <c r="R37" s="51">
        <f t="shared" si="72"/>
        <v>94.019342082897211</v>
      </c>
      <c r="S37" s="51">
        <f t="shared" si="72"/>
        <v>59.743264037343408</v>
      </c>
      <c r="T37" s="51">
        <f t="shared" si="72"/>
        <v>69.296543701793908</v>
      </c>
      <c r="U37" s="51">
        <f t="shared" si="72"/>
        <v>57.846918858629991</v>
      </c>
      <c r="V37" s="51">
        <f t="shared" si="72"/>
        <v>60.117274317870148</v>
      </c>
      <c r="W37" s="52">
        <f t="shared" si="1"/>
        <v>32.50658273997788</v>
      </c>
      <c r="X37" s="80">
        <f t="shared" ref="X37:AD37" si="73">((Q37*(C37*1000) ) * 28)/1000000/1000</f>
        <v>0.30931823899371064</v>
      </c>
      <c r="Y37" s="80">
        <f t="shared" si="73"/>
        <v>5.5520301886792458</v>
      </c>
      <c r="Z37" s="80">
        <f t="shared" si="73"/>
        <v>0.14553459119496853</v>
      </c>
      <c r="AA37" s="80">
        <f t="shared" si="73"/>
        <v>0.4016427672955975</v>
      </c>
      <c r="AB37" s="80">
        <f t="shared" si="73"/>
        <v>0.75154716981132086</v>
      </c>
      <c r="AC37" s="80">
        <f t="shared" si="73"/>
        <v>0.41577106918238999</v>
      </c>
      <c r="AD37" s="80">
        <f t="shared" si="73"/>
        <v>0.31492377358490575</v>
      </c>
      <c r="AE37" s="85" t="str">
        <f t="shared" si="3"/>
        <v>OK</v>
      </c>
      <c r="AF37" s="82">
        <f t="shared" si="4"/>
        <v>7.8907677987421385</v>
      </c>
    </row>
    <row r="38" spans="1:32" ht="15.75" customHeight="1">
      <c r="A38" s="87" t="s">
        <v>71</v>
      </c>
      <c r="B38" s="33" t="s">
        <v>104</v>
      </c>
      <c r="C38" s="14">
        <f>VLOOKUP($A38,'Beef Animal Numbers'!$B$2:$I$54,2,FALSE)</f>
        <v>266</v>
      </c>
      <c r="D38" s="14">
        <f>VLOOKUP($A38,'Beef Animal Numbers'!$B$2:$I$54,3,FALSE)</f>
        <v>533</v>
      </c>
      <c r="E38" s="14">
        <f>VLOOKUP($A38,'Beef Animal Numbers'!$B$2:$I$54,5,FALSE)</f>
        <v>25</v>
      </c>
      <c r="F38" s="14">
        <f>VLOOKUP($A38,'Beef Animal Numbers'!$B$2:$I$54,6,FALSE)</f>
        <v>59</v>
      </c>
      <c r="G38" s="14">
        <f>VLOOKUP($A38,'Beef Animal Numbers'!$B$2:$I$54,7,FALSE)</f>
        <v>67</v>
      </c>
      <c r="H38" s="14">
        <f>VLOOKUP($A38,'Beef Animal Numbers'!$B$2:$I$54,8,FALSE)</f>
        <v>56</v>
      </c>
      <c r="I38" s="14">
        <f>VLOOKUP($A38,'Beef Animal Numbers'!$B$2:$I$54,4,FALSE)</f>
        <v>96</v>
      </c>
      <c r="J38" s="77">
        <f>( VLOOKUP($A38,'Beef diets'!$B$27:$J$76,2,FALSE)* 1000)/(C38*1000)</f>
        <v>9.6992481203007515</v>
      </c>
      <c r="K38" s="78">
        <f>( VLOOKUP($A38,'Beef diets'!$B$27:$J$76,3,FALSE)* 1000)/(D38*1000)</f>
        <v>85.932457786116316</v>
      </c>
      <c r="L38" s="78">
        <f>( VLOOKUP($A38,'Beef diets'!$B$27:$J$76,4,FALSE)* 1000)/(E38*1000)</f>
        <v>54.48</v>
      </c>
      <c r="M38" s="78">
        <f>( VLOOKUP($A38,'Beef diets'!$B$27:$J$76,5,FALSE)* 1000)/(F38*1000)</f>
        <v>63.389830508474574</v>
      </c>
      <c r="N38" s="78">
        <f>( VLOOKUP($A38,'Beef diets'!$B$27:$J$76,6,FALSE)* 1000)/(G38*1000)</f>
        <v>53</v>
      </c>
      <c r="O38" s="78">
        <f>( VLOOKUP($A38,'Beef diets'!$B$27:$J$76,7,FALSE)* 1000)/(H38*1000)</f>
        <v>55.392857142857146</v>
      </c>
      <c r="P38" s="84">
        <f>( VLOOKUP($A38,'Beef diets'!$B$27:$J$76,8,FALSE)/(I38*1000) ) * 1000</f>
        <v>46.708333333333329</v>
      </c>
      <c r="Q38" s="50">
        <f t="shared" ref="Q38:V38" si="74">((J38* 0.065)/55.65) * 1000</f>
        <v>11.328861236649574</v>
      </c>
      <c r="R38" s="51">
        <f t="shared" si="74"/>
        <v>100.37034602151951</v>
      </c>
      <c r="S38" s="51">
        <f t="shared" si="74"/>
        <v>63.633423180592992</v>
      </c>
      <c r="T38" s="51">
        <f t="shared" si="74"/>
        <v>74.040233298308124</v>
      </c>
      <c r="U38" s="51">
        <f t="shared" si="74"/>
        <v>61.904761904761912</v>
      </c>
      <c r="V38" s="51">
        <f t="shared" si="74"/>
        <v>64.699653446284174</v>
      </c>
      <c r="W38" s="52">
        <f t="shared" si="1"/>
        <v>32.733602875112311</v>
      </c>
      <c r="X38" s="80">
        <f t="shared" ref="X38:AD38" si="75">((Q38*(C38*1000) ) * 28)/1000000/1000</f>
        <v>8.4377358490566018E-2</v>
      </c>
      <c r="Y38" s="80">
        <f t="shared" si="75"/>
        <v>1.4979270440251571</v>
      </c>
      <c r="Z38" s="80">
        <f t="shared" si="75"/>
        <v>4.4543396226415101E-2</v>
      </c>
      <c r="AA38" s="80">
        <f t="shared" si="75"/>
        <v>0.122314465408805</v>
      </c>
      <c r="AB38" s="80">
        <f t="shared" si="75"/>
        <v>0.11613333333333334</v>
      </c>
      <c r="AC38" s="80">
        <f t="shared" si="75"/>
        <v>0.10144905660377358</v>
      </c>
      <c r="AD38" s="80">
        <f t="shared" si="75"/>
        <v>8.798792452830187E-2</v>
      </c>
      <c r="AE38" s="85" t="str">
        <f t="shared" si="3"/>
        <v>OR</v>
      </c>
      <c r="AF38" s="82">
        <f t="shared" si="4"/>
        <v>2.0547325786163522</v>
      </c>
    </row>
    <row r="39" spans="1:32" ht="15.75" customHeight="1">
      <c r="A39" s="87" t="s">
        <v>72</v>
      </c>
      <c r="B39" s="33" t="s">
        <v>104</v>
      </c>
      <c r="C39" s="14">
        <f>VLOOKUP($A39,'Beef Animal Numbers'!$B$2:$I$54,2,FALSE)</f>
        <v>110</v>
      </c>
      <c r="D39" s="14">
        <f>VLOOKUP($A39,'Beef Animal Numbers'!$B$2:$I$54,3,FALSE)</f>
        <v>220</v>
      </c>
      <c r="E39" s="14">
        <f>VLOOKUP($A39,'Beef Animal Numbers'!$B$2:$I$54,5,FALSE)</f>
        <v>14</v>
      </c>
      <c r="F39" s="14">
        <f>VLOOKUP($A39,'Beef Animal Numbers'!$B$2:$I$54,6,FALSE)</f>
        <v>34</v>
      </c>
      <c r="G39" s="14">
        <f>VLOOKUP($A39,'Beef Animal Numbers'!$B$2:$I$54,7,FALSE)</f>
        <v>62</v>
      </c>
      <c r="H39" s="14">
        <f>VLOOKUP($A39,'Beef Animal Numbers'!$B$2:$I$54,8,FALSE)</f>
        <v>26</v>
      </c>
      <c r="I39" s="14">
        <f>VLOOKUP($A39,'Beef Animal Numbers'!$B$2:$I$54,4,FALSE)</f>
        <v>102</v>
      </c>
      <c r="J39" s="77">
        <f>( VLOOKUP($A39,'Beef diets'!$B$27:$J$76,2,FALSE)* 1000)/(C39*1000)</f>
        <v>9</v>
      </c>
      <c r="K39" s="78">
        <f>( VLOOKUP($A39,'Beef diets'!$B$27:$J$76,3,FALSE)* 1000)/(D39*1000)</f>
        <v>80.718181818181819</v>
      </c>
      <c r="L39" s="78">
        <f>( VLOOKUP($A39,'Beef diets'!$B$27:$J$76,4,FALSE)* 1000)/(E39*1000)</f>
        <v>51.714285714285715</v>
      </c>
      <c r="M39" s="78">
        <f>( VLOOKUP($A39,'Beef diets'!$B$27:$J$76,5,FALSE)* 1000)/(F39*1000)</f>
        <v>58.735294117647058</v>
      </c>
      <c r="N39" s="78">
        <f>( VLOOKUP($A39,'Beef diets'!$B$27:$J$76,6,FALSE)* 1000)/(G39*1000)</f>
        <v>49.693548387096776</v>
      </c>
      <c r="O39" s="78">
        <f>( VLOOKUP($A39,'Beef diets'!$B$27:$J$76,7,FALSE)* 1000)/(H39*1000)</f>
        <v>50.884615384615387</v>
      </c>
      <c r="P39" s="84">
        <f>( VLOOKUP($A39,'Beef diets'!$B$27:$J$76,8,FALSE)/(I39*1000) ) * 1000</f>
        <v>46.274509803921568</v>
      </c>
      <c r="Q39" s="50">
        <f t="shared" ref="Q39:V39" si="76">((J39* 0.065)/55.65) * 1000</f>
        <v>10.512129380053908</v>
      </c>
      <c r="R39" s="51">
        <f t="shared" si="76"/>
        <v>94.279996732826916</v>
      </c>
      <c r="S39" s="51">
        <f t="shared" si="76"/>
        <v>60.403029136182781</v>
      </c>
      <c r="T39" s="51">
        <f t="shared" si="76"/>
        <v>68.603667882247237</v>
      </c>
      <c r="U39" s="51">
        <f t="shared" si="76"/>
        <v>58.042778888792284</v>
      </c>
      <c r="V39" s="51">
        <f t="shared" si="76"/>
        <v>59.433962264150942</v>
      </c>
      <c r="W39" s="52">
        <f t="shared" si="1"/>
        <v>32.429575603826436</v>
      </c>
      <c r="X39" s="80">
        <f t="shared" ref="X39:AD39" si="77">((Q39*(C39*1000) ) * 28)/1000000/1000</f>
        <v>3.2377358490566041E-2</v>
      </c>
      <c r="Y39" s="80">
        <f t="shared" si="77"/>
        <v>0.58076477987421382</v>
      </c>
      <c r="Z39" s="80">
        <f t="shared" si="77"/>
        <v>2.3677987421383648E-2</v>
      </c>
      <c r="AA39" s="80">
        <f t="shared" si="77"/>
        <v>6.5310691823899369E-2</v>
      </c>
      <c r="AB39" s="80">
        <f t="shared" si="77"/>
        <v>0.10076226415094341</v>
      </c>
      <c r="AC39" s="80">
        <f t="shared" si="77"/>
        <v>4.3267924528301888E-2</v>
      </c>
      <c r="AD39" s="80">
        <f t="shared" si="77"/>
        <v>9.2618867924528309E-2</v>
      </c>
      <c r="AE39" s="85" t="str">
        <f t="shared" si="3"/>
        <v>PA</v>
      </c>
      <c r="AF39" s="82">
        <f t="shared" si="4"/>
        <v>0.93877987421383646</v>
      </c>
    </row>
    <row r="40" spans="1:32" ht="15.75" customHeight="1">
      <c r="A40" s="87" t="s">
        <v>73</v>
      </c>
      <c r="B40" s="33" t="s">
        <v>104</v>
      </c>
      <c r="C40" s="14">
        <f>VLOOKUP($A40,'Beef Animal Numbers'!$B$2:$I$54,2,FALSE)</f>
        <v>1</v>
      </c>
      <c r="D40" s="14">
        <f>VLOOKUP($A40,'Beef Animal Numbers'!$B$2:$I$54,3,FALSE)</f>
        <v>1</v>
      </c>
      <c r="E40" s="14">
        <f>VLOOKUP($A40,'Beef Animal Numbers'!$B$2:$I$54,5,FALSE)</f>
        <v>0</v>
      </c>
      <c r="F40" s="14">
        <f>VLOOKUP($A40,'Beef Animal Numbers'!$B$2:$I$54,6,FALSE)</f>
        <v>0</v>
      </c>
      <c r="G40" s="14">
        <f>VLOOKUP($A40,'Beef Animal Numbers'!$B$2:$I$54,7,FALSE)</f>
        <v>0</v>
      </c>
      <c r="H40" s="14">
        <f>VLOOKUP($A40,'Beef Animal Numbers'!$B$2:$I$54,8,FALSE)</f>
        <v>0</v>
      </c>
      <c r="I40" s="14">
        <f>VLOOKUP($A40,'Beef Animal Numbers'!$B$2:$I$54,4,FALSE)</f>
        <v>0</v>
      </c>
      <c r="J40" s="77">
        <f>( VLOOKUP($A40,'Beef diets'!$B$27:$J$76,2,FALSE)* 1000)/(C40*1000)</f>
        <v>5</v>
      </c>
      <c r="K40" s="78">
        <f>( VLOOKUP($A40,'Beef diets'!$B$27:$J$76,3,FALSE)* 1000)/(D40*1000)</f>
        <v>97</v>
      </c>
      <c r="L40" s="78" t="e">
        <f>( VLOOKUP($A40,'Beef diets'!$B$27:$J$76,4,FALSE)* 1000)/(E40*1000)</f>
        <v>#DIV/0!</v>
      </c>
      <c r="M40" s="78" t="e">
        <f>( VLOOKUP($A40,'Beef diets'!$B$27:$J$76,5,FALSE)* 1000)/(F40*1000)</f>
        <v>#DIV/0!</v>
      </c>
      <c r="N40" s="78" t="e">
        <f>( VLOOKUP($A40,'Beef diets'!$B$27:$J$76,6,FALSE)* 1000)/(G40*1000)</f>
        <v>#DIV/0!</v>
      </c>
      <c r="O40" s="78" t="e">
        <f>( VLOOKUP($A40,'Beef diets'!$B$27:$J$76,7,FALSE)* 1000)/(H40*1000)</f>
        <v>#DIV/0!</v>
      </c>
      <c r="P40" s="84" t="e">
        <f>( VLOOKUP($A40,'Beef diets'!$B$27:$J$76,8,FALSE)/(I40*1000) ) * 1000</f>
        <v>#DIV/0!</v>
      </c>
      <c r="Q40" s="50">
        <f t="shared" ref="Q40:V40" si="78">((J40* 0.065)/55.65) * 1000</f>
        <v>5.840071877807727</v>
      </c>
      <c r="R40" s="51">
        <f t="shared" si="78"/>
        <v>113.29739442946992</v>
      </c>
      <c r="S40" s="51" t="e">
        <f t="shared" si="78"/>
        <v>#DIV/0!</v>
      </c>
      <c r="T40" s="51" t="e">
        <f t="shared" si="78"/>
        <v>#DIV/0!</v>
      </c>
      <c r="U40" s="51" t="e">
        <f t="shared" si="78"/>
        <v>#DIV/0!</v>
      </c>
      <c r="V40" s="51" t="e">
        <f t="shared" si="78"/>
        <v>#DIV/0!</v>
      </c>
      <c r="W40" s="52" t="e">
        <f t="shared" si="1"/>
        <v>#DIV/0!</v>
      </c>
      <c r="X40" s="80">
        <f t="shared" ref="X40:Y40" si="79">((Q40*(C40*1000) ) * 28)/1000000/1000</f>
        <v>1.6352201257861635E-4</v>
      </c>
      <c r="Y40" s="80">
        <f t="shared" si="79"/>
        <v>3.1723270440251576E-3</v>
      </c>
      <c r="Z40" s="80" t="s">
        <v>105</v>
      </c>
      <c r="AA40" s="80" t="s">
        <v>105</v>
      </c>
      <c r="AB40" s="80" t="s">
        <v>105</v>
      </c>
      <c r="AC40" s="80" t="s">
        <v>105</v>
      </c>
      <c r="AD40" s="80" t="s">
        <v>105</v>
      </c>
      <c r="AE40" s="85" t="str">
        <f t="shared" si="3"/>
        <v>RI</v>
      </c>
      <c r="AF40" s="82">
        <f t="shared" si="4"/>
        <v>3.3358490566037739E-3</v>
      </c>
    </row>
    <row r="41" spans="1:32" ht="15.75" customHeight="1">
      <c r="A41" s="87" t="s">
        <v>74</v>
      </c>
      <c r="B41" s="33" t="s">
        <v>104</v>
      </c>
      <c r="C41" s="14">
        <f>VLOOKUP($A41,'Beef Animal Numbers'!$B$2:$I$54,2,FALSE)</f>
        <v>89</v>
      </c>
      <c r="D41" s="14">
        <f>VLOOKUP($A41,'Beef Animal Numbers'!$B$2:$I$54,3,FALSE)</f>
        <v>179</v>
      </c>
      <c r="E41" s="14">
        <f>VLOOKUP($A41,'Beef Animal Numbers'!$B$2:$I$54,5,FALSE)</f>
        <v>6</v>
      </c>
      <c r="F41" s="14">
        <f>VLOOKUP($A41,'Beef Animal Numbers'!$B$2:$I$54,6,FALSE)</f>
        <v>15</v>
      </c>
      <c r="G41" s="14">
        <f>VLOOKUP($A41,'Beef Animal Numbers'!$B$2:$I$54,7,FALSE)</f>
        <v>6</v>
      </c>
      <c r="H41" s="14">
        <f>VLOOKUP($A41,'Beef Animal Numbers'!$B$2:$I$54,8,FALSE)</f>
        <v>5</v>
      </c>
      <c r="I41" s="14">
        <f>VLOOKUP($A41,'Beef Animal Numbers'!$B$2:$I$54,4,FALSE)</f>
        <v>2</v>
      </c>
      <c r="J41" s="77">
        <f>( VLOOKUP($A41,'Beef diets'!$B$27:$J$76,2,FALSE)* 1000)/(C41*1000)</f>
        <v>9.02247191011236</v>
      </c>
      <c r="K41" s="78">
        <f>( VLOOKUP($A41,'Beef diets'!$B$27:$J$76,3,FALSE)* 1000)/(D41*1000)</f>
        <v>80.497206703910621</v>
      </c>
      <c r="L41" s="78">
        <f>( VLOOKUP($A41,'Beef diets'!$B$27:$J$76,4,FALSE)* 1000)/(E41*1000)</f>
        <v>52.166666666666664</v>
      </c>
      <c r="M41" s="78">
        <f>( VLOOKUP($A41,'Beef diets'!$B$27:$J$76,5,FALSE)* 1000)/(F41*1000)</f>
        <v>57.533333333333331</v>
      </c>
      <c r="N41" s="78">
        <f>( VLOOKUP($A41,'Beef diets'!$B$27:$J$76,6,FALSE)* 1000)/(G41*1000)</f>
        <v>45.5</v>
      </c>
      <c r="O41" s="78">
        <f>( VLOOKUP($A41,'Beef diets'!$B$27:$J$76,7,FALSE)* 1000)/(H41*1000)</f>
        <v>52.8</v>
      </c>
      <c r="P41" s="84">
        <f>( VLOOKUP($A41,'Beef diets'!$B$27:$J$76,8,FALSE)/(I41*1000) ) * 1000</f>
        <v>41.5</v>
      </c>
      <c r="Q41" s="50">
        <f t="shared" ref="Q41:V41" si="80">((J41* 0.065)/55.65) * 1000</f>
        <v>10.538376894111472</v>
      </c>
      <c r="R41" s="51">
        <f t="shared" si="80"/>
        <v>94.0218946227168</v>
      </c>
      <c r="S41" s="51">
        <f t="shared" si="80"/>
        <v>60.931416591793948</v>
      </c>
      <c r="T41" s="51">
        <f t="shared" si="80"/>
        <v>67.199760407307579</v>
      </c>
      <c r="U41" s="51">
        <f t="shared" si="80"/>
        <v>53.144654088050316</v>
      </c>
      <c r="V41" s="51">
        <f t="shared" si="80"/>
        <v>61.671159029649601</v>
      </c>
      <c r="W41" s="52">
        <f t="shared" si="1"/>
        <v>29.083557951482483</v>
      </c>
      <c r="X41" s="80">
        <f t="shared" ref="X41:AD41" si="81">((Q41*(C41*1000) ) * 28)/1000000/1000</f>
        <v>2.6261635220125791E-2</v>
      </c>
      <c r="Y41" s="80">
        <f t="shared" si="81"/>
        <v>0.47123773584905659</v>
      </c>
      <c r="Z41" s="80">
        <f t="shared" si="81"/>
        <v>1.0236477987421385E-2</v>
      </c>
      <c r="AA41" s="80">
        <f t="shared" si="81"/>
        <v>2.8223899371069183E-2</v>
      </c>
      <c r="AB41" s="80">
        <f t="shared" si="81"/>
        <v>8.928301886792455E-3</v>
      </c>
      <c r="AC41" s="80">
        <f t="shared" si="81"/>
        <v>8.6339622641509444E-3</v>
      </c>
      <c r="AD41" s="80">
        <f t="shared" si="81"/>
        <v>1.628679245283019E-3</v>
      </c>
      <c r="AE41" s="85" t="str">
        <f t="shared" si="3"/>
        <v>SC</v>
      </c>
      <c r="AF41" s="82">
        <f t="shared" si="4"/>
        <v>0.55515069182389931</v>
      </c>
    </row>
    <row r="42" spans="1:32" ht="15.75" customHeight="1">
      <c r="A42" s="87" t="s">
        <v>75</v>
      </c>
      <c r="B42" s="33" t="s">
        <v>104</v>
      </c>
      <c r="C42" s="14">
        <f>VLOOKUP($A42,'Beef Animal Numbers'!$B$2:$I$54,2,FALSE)</f>
        <v>890</v>
      </c>
      <c r="D42" s="14">
        <f>VLOOKUP($A42,'Beef Animal Numbers'!$B$2:$I$54,3,FALSE)</f>
        <v>1783</v>
      </c>
      <c r="E42" s="14">
        <f>VLOOKUP($A42,'Beef Animal Numbers'!$B$2:$I$54,5,FALSE)</f>
        <v>85</v>
      </c>
      <c r="F42" s="14">
        <f>VLOOKUP($A42,'Beef Animal Numbers'!$B$2:$I$54,6,FALSE)</f>
        <v>202</v>
      </c>
      <c r="G42" s="14">
        <f>VLOOKUP($A42,'Beef Animal Numbers'!$B$2:$I$54,7,FALSE)</f>
        <v>326</v>
      </c>
      <c r="H42" s="14">
        <f>VLOOKUP($A42,'Beef Animal Numbers'!$B$2:$I$54,8,FALSE)</f>
        <v>215</v>
      </c>
      <c r="I42" s="14">
        <f>VLOOKUP($A42,'Beef Animal Numbers'!$B$2:$I$54,4,FALSE)</f>
        <v>447</v>
      </c>
      <c r="J42" s="77">
        <f>( VLOOKUP($A42,'Beef diets'!$B$27:$J$76,2,FALSE)* 1000)/(C42*1000)</f>
        <v>8.7528089887640448</v>
      </c>
      <c r="K42" s="78">
        <f>( VLOOKUP($A42,'Beef diets'!$B$27:$J$76,3,FALSE)* 1000)/(D42*1000)</f>
        <v>78.693213684800895</v>
      </c>
      <c r="L42" s="78">
        <f>( VLOOKUP($A42,'Beef diets'!$B$27:$J$76,4,FALSE)* 1000)/(E42*1000)</f>
        <v>49.635294117647057</v>
      </c>
      <c r="M42" s="78">
        <f>( VLOOKUP($A42,'Beef diets'!$B$27:$J$76,5,FALSE)* 1000)/(F42*1000)</f>
        <v>57.737623762376238</v>
      </c>
      <c r="N42" s="78">
        <f>( VLOOKUP($A42,'Beef diets'!$B$27:$J$76,6,FALSE)* 1000)/(G42*1000)</f>
        <v>48.315950920245399</v>
      </c>
      <c r="O42" s="78">
        <f>( VLOOKUP($A42,'Beef diets'!$B$27:$J$76,7,FALSE)* 1000)/(H42*1000)</f>
        <v>50.02325581395349</v>
      </c>
      <c r="P42" s="84">
        <f>( VLOOKUP($A42,'Beef diets'!$B$27:$J$76,8,FALSE)/(I42*1000) ) * 1000</f>
        <v>46.463087248322147</v>
      </c>
      <c r="Q42" s="50">
        <f t="shared" ref="Q42:V42" si="82">((J42* 0.065)/55.65) * 1000</f>
        <v>10.22340672542072</v>
      </c>
      <c r="R42" s="51">
        <f t="shared" si="82"/>
        <v>91.914804842983983</v>
      </c>
      <c r="S42" s="51">
        <f t="shared" si="82"/>
        <v>57.974737064637182</v>
      </c>
      <c r="T42" s="51">
        <f t="shared" si="82"/>
        <v>67.43837456521932</v>
      </c>
      <c r="U42" s="51">
        <f t="shared" si="82"/>
        <v>56.433725243772706</v>
      </c>
      <c r="V42" s="51">
        <f t="shared" si="82"/>
        <v>58.427881903090331</v>
      </c>
      <c r="W42" s="52">
        <f t="shared" si="1"/>
        <v>32.561732303406359</v>
      </c>
      <c r="X42" s="80">
        <f t="shared" ref="X42:AD42" si="83">((Q42*(C42*1000) ) * 28)/1000000/1000</f>
        <v>0.25476729559748434</v>
      </c>
      <c r="Y42" s="80">
        <f t="shared" si="83"/>
        <v>4.588754716981132</v>
      </c>
      <c r="Z42" s="80">
        <f t="shared" si="83"/>
        <v>0.13797987421383651</v>
      </c>
      <c r="AA42" s="80">
        <f t="shared" si="83"/>
        <v>0.38143144654088051</v>
      </c>
      <c r="AB42" s="80">
        <f t="shared" si="83"/>
        <v>0.5151270440251573</v>
      </c>
      <c r="AC42" s="80">
        <f t="shared" si="83"/>
        <v>0.35173584905660382</v>
      </c>
      <c r="AD42" s="80">
        <f t="shared" si="83"/>
        <v>0.40754264150943398</v>
      </c>
      <c r="AE42" s="85" t="str">
        <f t="shared" si="3"/>
        <v>SD</v>
      </c>
      <c r="AF42" s="82">
        <f t="shared" si="4"/>
        <v>6.6373388679245293</v>
      </c>
    </row>
    <row r="43" spans="1:32" ht="15.75" customHeight="1">
      <c r="A43" s="87" t="s">
        <v>76</v>
      </c>
      <c r="B43" s="33" t="s">
        <v>104</v>
      </c>
      <c r="C43" s="14">
        <f>VLOOKUP($A43,'Beef Animal Numbers'!$B$2:$I$54,2,FALSE)</f>
        <v>453</v>
      </c>
      <c r="D43" s="14">
        <f>VLOOKUP($A43,'Beef Animal Numbers'!$B$2:$I$54,3,FALSE)</f>
        <v>909</v>
      </c>
      <c r="E43" s="14">
        <f>VLOOKUP($A43,'Beef Animal Numbers'!$B$2:$I$54,5,FALSE)</f>
        <v>29</v>
      </c>
      <c r="F43" s="14">
        <f>VLOOKUP($A43,'Beef Animal Numbers'!$B$2:$I$54,6,FALSE)</f>
        <v>70</v>
      </c>
      <c r="G43" s="14">
        <f>VLOOKUP($A43,'Beef Animal Numbers'!$B$2:$I$54,7,FALSE)</f>
        <v>71</v>
      </c>
      <c r="H43" s="14">
        <f>VLOOKUP($A43,'Beef Animal Numbers'!$B$2:$I$54,8,FALSE)</f>
        <v>40</v>
      </c>
      <c r="I43" s="14">
        <f>VLOOKUP($A43,'Beef Animal Numbers'!$B$2:$I$54,4,FALSE)</f>
        <v>19</v>
      </c>
      <c r="J43" s="77">
        <f>( VLOOKUP($A43,'Beef diets'!$B$27:$J$76,2,FALSE)* 1000)/(C43*1000)</f>
        <v>9</v>
      </c>
      <c r="K43" s="78">
        <f>( VLOOKUP($A43,'Beef diets'!$B$27:$J$76,3,FALSE)* 1000)/(D43*1000)</f>
        <v>80.495049504950501</v>
      </c>
      <c r="L43" s="78">
        <f>( VLOOKUP($A43,'Beef diets'!$B$27:$J$76,4,FALSE)* 1000)/(E43*1000)</f>
        <v>51.827586206896555</v>
      </c>
      <c r="M43" s="78">
        <f>( VLOOKUP($A43,'Beef diets'!$B$27:$J$76,5,FALSE)* 1000)/(F43*1000)</f>
        <v>59.271428571428572</v>
      </c>
      <c r="N43" s="78">
        <f>( VLOOKUP($A43,'Beef diets'!$B$27:$J$76,6,FALSE)* 1000)/(G43*1000)</f>
        <v>49.676056338028168</v>
      </c>
      <c r="O43" s="78">
        <f>( VLOOKUP($A43,'Beef diets'!$B$27:$J$76,7,FALSE)* 1000)/(H43*1000)</f>
        <v>50.975000000000001</v>
      </c>
      <c r="P43" s="84">
        <f>( VLOOKUP($A43,'Beef diets'!$B$27:$J$76,8,FALSE)/(I43*1000) ) * 1000</f>
        <v>45.421052631578945</v>
      </c>
      <c r="Q43" s="50">
        <f t="shared" ref="Q43:V43" si="84">((J43* 0.065)/55.65) * 1000</f>
        <v>10.512129380053908</v>
      </c>
      <c r="R43" s="51">
        <f t="shared" si="84"/>
        <v>94.019374983320461</v>
      </c>
      <c r="S43" s="51">
        <f t="shared" si="84"/>
        <v>60.535365740310446</v>
      </c>
      <c r="T43" s="51">
        <f t="shared" si="84"/>
        <v>69.229880631497892</v>
      </c>
      <c r="U43" s="51">
        <f t="shared" si="84"/>
        <v>58.022347924022128</v>
      </c>
      <c r="V43" s="51">
        <f t="shared" si="84"/>
        <v>59.53953279424978</v>
      </c>
      <c r="W43" s="52">
        <f t="shared" si="1"/>
        <v>31.831465456093063</v>
      </c>
      <c r="X43" s="80">
        <f t="shared" ref="X43:AD43" si="85">((Q43*(C43*1000) ) * 28)/1000000/1000</f>
        <v>0.13333584905660376</v>
      </c>
      <c r="Y43" s="80">
        <f t="shared" si="85"/>
        <v>2.3929811320754726</v>
      </c>
      <c r="Z43" s="80">
        <f t="shared" si="85"/>
        <v>4.9154716981132079E-2</v>
      </c>
      <c r="AA43" s="80">
        <f t="shared" si="85"/>
        <v>0.13569056603773585</v>
      </c>
      <c r="AB43" s="80">
        <f t="shared" si="85"/>
        <v>0.11534842767295599</v>
      </c>
      <c r="AC43" s="80">
        <f t="shared" si="85"/>
        <v>6.668427672955976E-2</v>
      </c>
      <c r="AD43" s="80">
        <f t="shared" si="85"/>
        <v>1.6934339622641507E-2</v>
      </c>
      <c r="AE43" s="85" t="str">
        <f t="shared" si="3"/>
        <v>TN</v>
      </c>
      <c r="AF43" s="82">
        <f t="shared" si="4"/>
        <v>2.9101293081761015</v>
      </c>
    </row>
    <row r="44" spans="1:32" ht="15.75" customHeight="1">
      <c r="A44" s="87" t="s">
        <v>77</v>
      </c>
      <c r="B44" s="33" t="s">
        <v>104</v>
      </c>
      <c r="C44" s="14">
        <f>VLOOKUP($A44,'Beef Animal Numbers'!$B$2:$I$54,2,FALSE)</f>
        <v>2280</v>
      </c>
      <c r="D44" s="14">
        <f>VLOOKUP($A44,'Beef Animal Numbers'!$B$2:$I$54,3,FALSE)</f>
        <v>4570</v>
      </c>
      <c r="E44" s="14">
        <f>VLOOKUP($A44,'Beef Animal Numbers'!$B$2:$I$54,5,FALSE)</f>
        <v>188</v>
      </c>
      <c r="F44" s="14">
        <f>VLOOKUP($A44,'Beef Animal Numbers'!$B$2:$I$54,6,FALSE)</f>
        <v>448</v>
      </c>
      <c r="G44" s="14">
        <f>VLOOKUP($A44,'Beef Animal Numbers'!$B$2:$I$54,7,FALSE)</f>
        <v>1218</v>
      </c>
      <c r="H44" s="14">
        <f>VLOOKUP($A44,'Beef Animal Numbers'!$B$2:$I$54,8,FALSE)</f>
        <v>723</v>
      </c>
      <c r="I44" s="14">
        <f>VLOOKUP($A44,'Beef Animal Numbers'!$B$2:$I$54,4,FALSE)</f>
        <v>2998</v>
      </c>
      <c r="J44" s="77">
        <f>( VLOOKUP($A44,'Beef diets'!$B$27:$J$76,2,FALSE)* 1000)/(C44*1000)</f>
        <v>8.9890350877192979</v>
      </c>
      <c r="K44" s="78">
        <f>( VLOOKUP($A44,'Beef diets'!$B$27:$J$76,3,FALSE)* 1000)/(D44*1000)</f>
        <v>80.49474835886214</v>
      </c>
      <c r="L44" s="78">
        <f>( VLOOKUP($A44,'Beef diets'!$B$27:$J$76,4,FALSE)* 1000)/(E44*1000)</f>
        <v>51.175531914893618</v>
      </c>
      <c r="M44" s="78">
        <f>( VLOOKUP($A44,'Beef diets'!$B$27:$J$76,5,FALSE)* 1000)/(F44*1000)</f>
        <v>59.270089285714285</v>
      </c>
      <c r="N44" s="78">
        <f>( VLOOKUP($A44,'Beef diets'!$B$27:$J$76,6,FALSE)* 1000)/(G44*1000)</f>
        <v>49.501642036124792</v>
      </c>
      <c r="O44" s="78">
        <f>( VLOOKUP($A44,'Beef diets'!$B$27:$J$76,7,FALSE)* 1000)/(H44*1000)</f>
        <v>51.42323651452282</v>
      </c>
      <c r="P44" s="84">
        <f>( VLOOKUP($A44,'Beef diets'!$B$27:$J$76,8,FALSE)/(I44*1000) ) * 1000</f>
        <v>46.918612408272182</v>
      </c>
      <c r="Q44" s="50">
        <f t="shared" ref="Q44:V44" si="86">((J44* 0.065)/55.65) * 1000</f>
        <v>10.499322204883278</v>
      </c>
      <c r="R44" s="51">
        <f t="shared" si="86"/>
        <v>94.019023240360099</v>
      </c>
      <c r="S44" s="51">
        <f t="shared" si="86"/>
        <v>59.773756953604412</v>
      </c>
      <c r="T44" s="51">
        <f t="shared" si="86"/>
        <v>69.228316326530617</v>
      </c>
      <c r="U44" s="51">
        <f t="shared" si="86"/>
        <v>57.818629512095448</v>
      </c>
      <c r="V44" s="51">
        <f t="shared" si="86"/>
        <v>60.063079486864041</v>
      </c>
      <c r="W44" s="52">
        <f t="shared" si="1"/>
        <v>32.880968264557325</v>
      </c>
      <c r="X44" s="80">
        <f t="shared" ref="X44:AD44" si="87">((Q44*(C44*1000) ) * 28)/1000000/1000</f>
        <v>0.67027672955974849</v>
      </c>
      <c r="Y44" s="80">
        <f t="shared" si="87"/>
        <v>12.030674213836479</v>
      </c>
      <c r="Z44" s="80">
        <f t="shared" si="87"/>
        <v>0.31464905660377362</v>
      </c>
      <c r="AA44" s="80">
        <f t="shared" si="87"/>
        <v>0.86839999999999995</v>
      </c>
      <c r="AB44" s="80">
        <f t="shared" si="87"/>
        <v>1.9718465408805035</v>
      </c>
      <c r="AC44" s="80">
        <f t="shared" si="87"/>
        <v>1.2159169811320756</v>
      </c>
      <c r="AD44" s="80">
        <f t="shared" si="87"/>
        <v>2.7601599999999999</v>
      </c>
      <c r="AE44" s="85" t="str">
        <f t="shared" si="3"/>
        <v>TX</v>
      </c>
      <c r="AF44" s="82">
        <f t="shared" si="4"/>
        <v>19.83192352201258</v>
      </c>
    </row>
    <row r="45" spans="1:32" ht="15.75" customHeight="1">
      <c r="A45" s="87" t="s">
        <v>78</v>
      </c>
      <c r="B45" s="33" t="s">
        <v>104</v>
      </c>
      <c r="C45" s="14">
        <f>VLOOKUP($A45,'Beef Animal Numbers'!$B$2:$I$54,2,FALSE)</f>
        <v>179</v>
      </c>
      <c r="D45" s="14">
        <f>VLOOKUP($A45,'Beef Animal Numbers'!$B$2:$I$54,3,FALSE)</f>
        <v>358</v>
      </c>
      <c r="E45" s="14">
        <f>VLOOKUP($A45,'Beef Animal Numbers'!$B$2:$I$54,5,FALSE)</f>
        <v>20</v>
      </c>
      <c r="F45" s="14">
        <f>VLOOKUP($A45,'Beef Animal Numbers'!$B$2:$I$54,6,FALSE)</f>
        <v>48</v>
      </c>
      <c r="G45" s="14">
        <f>VLOOKUP($A45,'Beef Animal Numbers'!$B$2:$I$54,7,FALSE)</f>
        <v>37</v>
      </c>
      <c r="H45" s="14">
        <f>VLOOKUP($A45,'Beef Animal Numbers'!$B$2:$I$54,8,FALSE)</f>
        <v>28</v>
      </c>
      <c r="I45" s="14">
        <f>VLOOKUP($A45,'Beef Animal Numbers'!$B$2:$I$54,4,FALSE)</f>
        <v>21</v>
      </c>
      <c r="J45" s="77">
        <f>( VLOOKUP($A45,'Beef diets'!$B$27:$J$76,2,FALSE)* 1000)/(C45*1000)</f>
        <v>9.6815642458100566</v>
      </c>
      <c r="K45" s="78">
        <f>( VLOOKUP($A45,'Beef diets'!$B$27:$J$76,3,FALSE)* 1000)/(D45*1000)</f>
        <v>85.681564245810051</v>
      </c>
      <c r="L45" s="78">
        <f>( VLOOKUP($A45,'Beef diets'!$B$27:$J$76,4,FALSE)* 1000)/(E45*1000)</f>
        <v>55.15</v>
      </c>
      <c r="M45" s="78">
        <f>( VLOOKUP($A45,'Beef diets'!$B$27:$J$76,5,FALSE)* 1000)/(F45*1000)</f>
        <v>63.0625</v>
      </c>
      <c r="N45" s="78">
        <f>( VLOOKUP($A45,'Beef diets'!$B$27:$J$76,6,FALSE)* 1000)/(G45*1000)</f>
        <v>52.945945945945944</v>
      </c>
      <c r="O45" s="78">
        <f>( VLOOKUP($A45,'Beef diets'!$B$27:$J$76,7,FALSE)* 1000)/(H45*1000)</f>
        <v>55.392857142857146</v>
      </c>
      <c r="P45" s="84">
        <f>( VLOOKUP($A45,'Beef diets'!$B$27:$J$76,8,FALSE)/(I45*1000) ) * 1000</f>
        <v>44.952380952380949</v>
      </c>
      <c r="Q45" s="50">
        <f t="shared" ref="Q45:V45" si="88">((J45* 0.065)/55.65) * 1000</f>
        <v>11.308206217028818</v>
      </c>
      <c r="R45" s="51">
        <f t="shared" si="88"/>
        <v>100.07729875970627</v>
      </c>
      <c r="S45" s="51">
        <f t="shared" si="88"/>
        <v>64.41599281221923</v>
      </c>
      <c r="T45" s="51">
        <f t="shared" si="88"/>
        <v>73.657906558849959</v>
      </c>
      <c r="U45" s="51">
        <f t="shared" si="88"/>
        <v>61.841625992569391</v>
      </c>
      <c r="V45" s="51">
        <f t="shared" si="88"/>
        <v>64.699653446284174</v>
      </c>
      <c r="W45" s="52">
        <f t="shared" si="1"/>
        <v>31.503016300859965</v>
      </c>
      <c r="X45" s="80">
        <f t="shared" ref="X45:AD45" si="89">((Q45*(C45*1000) ) * 28)/1000000/1000</f>
        <v>5.6676729559748437E-2</v>
      </c>
      <c r="Y45" s="80">
        <f t="shared" si="89"/>
        <v>1.0031748427672957</v>
      </c>
      <c r="Z45" s="80">
        <f t="shared" si="89"/>
        <v>3.6072955974842766E-2</v>
      </c>
      <c r="AA45" s="80">
        <f t="shared" si="89"/>
        <v>9.8996226415094341E-2</v>
      </c>
      <c r="AB45" s="80">
        <f t="shared" si="89"/>
        <v>6.4067924528301901E-2</v>
      </c>
      <c r="AC45" s="80">
        <f t="shared" si="89"/>
        <v>5.0724528301886791E-2</v>
      </c>
      <c r="AD45" s="80">
        <f t="shared" si="89"/>
        <v>1.8523773584905662E-2</v>
      </c>
      <c r="AE45" s="85" t="str">
        <f t="shared" si="3"/>
        <v>UT</v>
      </c>
      <c r="AF45" s="82">
        <f t="shared" si="4"/>
        <v>1.3282369811320758</v>
      </c>
    </row>
    <row r="46" spans="1:32" ht="15.75" customHeight="1">
      <c r="A46" s="87" t="s">
        <v>79</v>
      </c>
      <c r="B46" s="33" t="s">
        <v>104</v>
      </c>
      <c r="C46" s="14">
        <f>VLOOKUP($A46,'Beef Animal Numbers'!$B$2:$I$54,2,FALSE)</f>
        <v>312</v>
      </c>
      <c r="D46" s="14">
        <f>VLOOKUP($A46,'Beef Animal Numbers'!$B$2:$I$54,3,FALSE)</f>
        <v>626</v>
      </c>
      <c r="E46" s="14">
        <f>VLOOKUP($A46,'Beef Animal Numbers'!$B$2:$I$54,5,FALSE)</f>
        <v>22</v>
      </c>
      <c r="F46" s="14">
        <f>VLOOKUP($A46,'Beef Animal Numbers'!$B$2:$I$54,6,FALSE)</f>
        <v>52</v>
      </c>
      <c r="G46" s="14">
        <f>VLOOKUP($A46,'Beef Animal Numbers'!$B$2:$I$54,7,FALSE)</f>
        <v>76</v>
      </c>
      <c r="H46" s="14">
        <f>VLOOKUP($A46,'Beef Animal Numbers'!$B$2:$I$54,8,FALSE)</f>
        <v>30</v>
      </c>
      <c r="I46" s="14">
        <f>VLOOKUP($A46,'Beef Animal Numbers'!$B$2:$I$54,4,FALSE)</f>
        <v>19</v>
      </c>
      <c r="J46" s="77">
        <f>( VLOOKUP($A46,'Beef diets'!$B$27:$J$76,2,FALSE)* 1000)/(C46*1000)</f>
        <v>8.9967948717948723</v>
      </c>
      <c r="K46" s="78">
        <f>( VLOOKUP($A46,'Beef diets'!$B$27:$J$76,3,FALSE)* 1000)/(D46*1000)</f>
        <v>80.495207667731634</v>
      </c>
      <c r="L46" s="78">
        <f>( VLOOKUP($A46,'Beef diets'!$B$27:$J$76,4,FALSE)* 1000)/(E46*1000)</f>
        <v>50.81818181818182</v>
      </c>
      <c r="M46" s="78">
        <f>( VLOOKUP($A46,'Beef diets'!$B$27:$J$76,5,FALSE)* 1000)/(F46*1000)</f>
        <v>59.365384615384613</v>
      </c>
      <c r="N46" s="78">
        <f>( VLOOKUP($A46,'Beef diets'!$B$27:$J$76,6,FALSE)* 1000)/(G46*1000)</f>
        <v>49.39473684210526</v>
      </c>
      <c r="O46" s="78">
        <f>( VLOOKUP($A46,'Beef diets'!$B$27:$J$76,7,FALSE)* 1000)/(H46*1000)</f>
        <v>51.166666666666664</v>
      </c>
      <c r="P46" s="84">
        <f>( VLOOKUP($A46,'Beef diets'!$B$27:$J$76,8,FALSE)/(I46*1000) ) * 1000</f>
        <v>49.684210526315788</v>
      </c>
      <c r="Q46" s="50">
        <f t="shared" ref="Q46:V46" si="90">((J46* 0.065)/55.65) * 1000</f>
        <v>10.508385744234802</v>
      </c>
      <c r="R46" s="51">
        <f t="shared" si="90"/>
        <v>94.019559719722494</v>
      </c>
      <c r="S46" s="51">
        <f t="shared" si="90"/>
        <v>59.356366903536717</v>
      </c>
      <c r="T46" s="51">
        <f t="shared" si="90"/>
        <v>69.339622641509436</v>
      </c>
      <c r="U46" s="51">
        <f t="shared" si="90"/>
        <v>57.693762708658433</v>
      </c>
      <c r="V46" s="51">
        <f t="shared" si="90"/>
        <v>59.763402216232407</v>
      </c>
      <c r="W46" s="52">
        <f t="shared" si="1"/>
        <v>34.819123279897852</v>
      </c>
      <c r="X46" s="80">
        <f t="shared" ref="X46:AD46" si="91">((Q46*(C46*1000) ) * 28)/1000000/1000</f>
        <v>9.1801257861635233E-2</v>
      </c>
      <c r="Y46" s="80">
        <f t="shared" si="91"/>
        <v>1.6479748427672958</v>
      </c>
      <c r="Z46" s="80">
        <f t="shared" si="91"/>
        <v>3.6563522012578627E-2</v>
      </c>
      <c r="AA46" s="80">
        <f t="shared" si="91"/>
        <v>0.10095849056603774</v>
      </c>
      <c r="AB46" s="80">
        <f t="shared" si="91"/>
        <v>0.12277232704402515</v>
      </c>
      <c r="AC46" s="80">
        <f t="shared" si="91"/>
        <v>5.0201257861635221E-2</v>
      </c>
      <c r="AD46" s="80">
        <f t="shared" si="91"/>
        <v>1.8523773584905659E-2</v>
      </c>
      <c r="AE46" s="85" t="str">
        <f t="shared" si="3"/>
        <v>VA</v>
      </c>
      <c r="AF46" s="82">
        <f t="shared" si="4"/>
        <v>2.0687954716981132</v>
      </c>
    </row>
    <row r="47" spans="1:32" ht="15.75" customHeight="1">
      <c r="A47" s="87" t="s">
        <v>80</v>
      </c>
      <c r="B47" s="33" t="s">
        <v>104</v>
      </c>
      <c r="C47" s="14">
        <f>VLOOKUP($A47,'Beef Animal Numbers'!$B$2:$I$54,2,FALSE)</f>
        <v>6</v>
      </c>
      <c r="D47" s="14">
        <f>VLOOKUP($A47,'Beef Animal Numbers'!$B$2:$I$54,3,FALSE)</f>
        <v>13</v>
      </c>
      <c r="E47" s="14">
        <f>VLOOKUP($A47,'Beef Animal Numbers'!$B$2:$I$54,5,FALSE)</f>
        <v>1</v>
      </c>
      <c r="F47" s="14">
        <f>VLOOKUP($A47,'Beef Animal Numbers'!$B$2:$I$54,6,FALSE)</f>
        <v>3</v>
      </c>
      <c r="G47" s="14">
        <f>VLOOKUP($A47,'Beef Animal Numbers'!$B$2:$I$54,7,FALSE)</f>
        <v>2</v>
      </c>
      <c r="H47" s="14">
        <f>VLOOKUP($A47,'Beef Animal Numbers'!$B$2:$I$54,8,FALSE)</f>
        <v>3</v>
      </c>
      <c r="I47" s="14">
        <f>VLOOKUP($A47,'Beef Animal Numbers'!$B$2:$I$54,4,FALSE)</f>
        <v>1</v>
      </c>
      <c r="J47" s="77">
        <f>( VLOOKUP($A47,'Beef diets'!$B$27:$J$76,2,FALSE)* 1000)/(C47*1000)</f>
        <v>9.6666666666666661</v>
      </c>
      <c r="K47" s="78">
        <f>( VLOOKUP($A47,'Beef diets'!$B$27:$J$76,3,FALSE)* 1000)/(D47*1000)</f>
        <v>80.692307692307693</v>
      </c>
      <c r="L47" s="78">
        <f>( VLOOKUP($A47,'Beef diets'!$B$27:$J$76,4,FALSE)* 1000)/(E47*1000)</f>
        <v>54</v>
      </c>
      <c r="M47" s="78">
        <f>( VLOOKUP($A47,'Beef diets'!$B$27:$J$76,5,FALSE)* 1000)/(F47*1000)</f>
        <v>50</v>
      </c>
      <c r="N47" s="78">
        <f>( VLOOKUP($A47,'Beef diets'!$B$27:$J$76,6,FALSE)* 1000)/(G47*1000)</f>
        <v>45.5</v>
      </c>
      <c r="O47" s="78">
        <f>( VLOOKUP($A47,'Beef diets'!$B$27:$J$76,7,FALSE)* 1000)/(H47*1000)</f>
        <v>43.666666666666664</v>
      </c>
      <c r="P47" s="84">
        <f>( VLOOKUP($A47,'Beef diets'!$B$27:$J$76,8,FALSE)/(I47*1000) ) * 1000</f>
        <v>34</v>
      </c>
      <c r="Q47" s="50">
        <f t="shared" ref="Q47:V47" si="92">((J47* 0.065)/55.65) * 1000</f>
        <v>11.290805630428272</v>
      </c>
      <c r="R47" s="51">
        <f t="shared" si="92"/>
        <v>94.249775381850867</v>
      </c>
      <c r="S47" s="51">
        <f t="shared" si="92"/>
        <v>63.072776280323453</v>
      </c>
      <c r="T47" s="51">
        <f t="shared" si="92"/>
        <v>58.400718778077277</v>
      </c>
      <c r="U47" s="51">
        <f t="shared" si="92"/>
        <v>53.144654088050316</v>
      </c>
      <c r="V47" s="51">
        <f t="shared" si="92"/>
        <v>51.003294399520819</v>
      </c>
      <c r="W47" s="52">
        <f t="shared" si="1"/>
        <v>23.82749326145553</v>
      </c>
      <c r="X47" s="80">
        <f t="shared" ref="X47:AD47" si="93">((Q47*(C47*1000) ) * 28)/1000000/1000</f>
        <v>1.8968553459119499E-3</v>
      </c>
      <c r="Y47" s="80">
        <f t="shared" si="93"/>
        <v>3.4306918238993719E-2</v>
      </c>
      <c r="Z47" s="80">
        <f t="shared" si="93"/>
        <v>1.7660377358490566E-3</v>
      </c>
      <c r="AA47" s="80">
        <f t="shared" si="93"/>
        <v>4.9056603773584909E-3</v>
      </c>
      <c r="AB47" s="80">
        <f t="shared" si="93"/>
        <v>2.9761006289308178E-3</v>
      </c>
      <c r="AC47" s="80">
        <f t="shared" si="93"/>
        <v>4.2842767295597486E-3</v>
      </c>
      <c r="AD47" s="80">
        <f t="shared" si="93"/>
        <v>6.6716981132075484E-4</v>
      </c>
      <c r="AE47" s="85" t="str">
        <f t="shared" si="3"/>
        <v>VT</v>
      </c>
      <c r="AF47" s="82">
        <f t="shared" si="4"/>
        <v>5.0803018867924536E-2</v>
      </c>
    </row>
    <row r="48" spans="1:32" ht="15.75" customHeight="1">
      <c r="A48" s="87" t="s">
        <v>81</v>
      </c>
      <c r="B48" s="33" t="s">
        <v>104</v>
      </c>
      <c r="C48" s="14">
        <f>VLOOKUP($A48,'Beef Animal Numbers'!$B$2:$I$54,2,FALSE)</f>
        <v>114</v>
      </c>
      <c r="D48" s="14">
        <f>VLOOKUP($A48,'Beef Animal Numbers'!$B$2:$I$54,3,FALSE)</f>
        <v>228</v>
      </c>
      <c r="E48" s="14">
        <f>VLOOKUP($A48,'Beef Animal Numbers'!$B$2:$I$54,5,FALSE)</f>
        <v>13</v>
      </c>
      <c r="F48" s="14">
        <f>VLOOKUP($A48,'Beef Animal Numbers'!$B$2:$I$54,6,FALSE)</f>
        <v>32</v>
      </c>
      <c r="G48" s="14">
        <f>VLOOKUP($A48,'Beef Animal Numbers'!$B$2:$I$54,7,FALSE)</f>
        <v>94</v>
      </c>
      <c r="H48" s="14">
        <f>VLOOKUP($A48,'Beef Animal Numbers'!$B$2:$I$54,8,FALSE)</f>
        <v>63</v>
      </c>
      <c r="I48" s="14">
        <f>VLOOKUP($A48,'Beef Animal Numbers'!$B$2:$I$54,4,FALSE)</f>
        <v>243</v>
      </c>
      <c r="J48" s="77">
        <f>( VLOOKUP($A48,'Beef diets'!$B$27:$J$76,2,FALSE)* 1000)/(C48*1000)</f>
        <v>9.6842105263157894</v>
      </c>
      <c r="K48" s="78">
        <f>( VLOOKUP($A48,'Beef diets'!$B$27:$J$76,3,FALSE)* 1000)/(D48*1000)</f>
        <v>85.929824561403507</v>
      </c>
      <c r="L48" s="78">
        <f>( VLOOKUP($A48,'Beef diets'!$B$27:$J$76,4,FALSE)* 1000)/(E48*1000)</f>
        <v>56.846153846153847</v>
      </c>
      <c r="M48" s="78">
        <f>( VLOOKUP($A48,'Beef diets'!$B$27:$J$76,5,FALSE)* 1000)/(F48*1000)</f>
        <v>63.4375</v>
      </c>
      <c r="N48" s="78">
        <f>( VLOOKUP($A48,'Beef diets'!$B$27:$J$76,6,FALSE)* 1000)/(G48*1000)</f>
        <v>53.414893617021278</v>
      </c>
      <c r="O48" s="78">
        <f>( VLOOKUP($A48,'Beef diets'!$B$27:$J$76,7,FALSE)* 1000)/(H48*1000)</f>
        <v>55.793650793650791</v>
      </c>
      <c r="P48" s="84">
        <f>( VLOOKUP($A48,'Beef diets'!$B$27:$J$76,8,FALSE)/(I48*1000) ) * 1000</f>
        <v>46.617283950617285</v>
      </c>
      <c r="Q48" s="50">
        <f t="shared" ref="Q48:V48" si="94">((J48* 0.065)/55.65) * 1000</f>
        <v>11.311297110701281</v>
      </c>
      <c r="R48" s="51">
        <f t="shared" si="94"/>
        <v>100.36727037720087</v>
      </c>
      <c r="S48" s="51">
        <f t="shared" si="94"/>
        <v>66.397124887690936</v>
      </c>
      <c r="T48" s="51">
        <f t="shared" si="94"/>
        <v>74.095911949685558</v>
      </c>
      <c r="U48" s="51">
        <f t="shared" si="94"/>
        <v>62.389363613771486</v>
      </c>
      <c r="V48" s="51">
        <f t="shared" si="94"/>
        <v>65.167786192044957</v>
      </c>
      <c r="W48" s="52">
        <f t="shared" si="1"/>
        <v>32.669794682373301</v>
      </c>
      <c r="X48" s="80">
        <f t="shared" ref="X48:AD48" si="95">((Q48*(C48*1000) ) * 28)/1000000/1000</f>
        <v>3.6105660377358489E-2</v>
      </c>
      <c r="Y48" s="80">
        <f t="shared" si="95"/>
        <v>0.64074465408805026</v>
      </c>
      <c r="Z48" s="80">
        <f t="shared" si="95"/>
        <v>2.4168553459119498E-2</v>
      </c>
      <c r="AA48" s="80">
        <f t="shared" si="95"/>
        <v>6.6389937106918248E-2</v>
      </c>
      <c r="AB48" s="80">
        <f t="shared" si="95"/>
        <v>0.16420880503144655</v>
      </c>
      <c r="AC48" s="80">
        <f t="shared" si="95"/>
        <v>0.1149559748427673</v>
      </c>
      <c r="AD48" s="80">
        <f t="shared" si="95"/>
        <v>0.22228528301886794</v>
      </c>
      <c r="AE48" s="85" t="str">
        <f t="shared" si="3"/>
        <v>WA</v>
      </c>
      <c r="AF48" s="82">
        <f t="shared" si="4"/>
        <v>1.2688588679245283</v>
      </c>
    </row>
    <row r="49" spans="1:32" ht="15.75" customHeight="1">
      <c r="A49" s="87" t="s">
        <v>82</v>
      </c>
      <c r="B49" s="33" t="s">
        <v>104</v>
      </c>
      <c r="C49" s="14">
        <f>VLOOKUP($A49,'Beef Animal Numbers'!$B$2:$I$54,2,FALSE)</f>
        <v>155</v>
      </c>
      <c r="D49" s="14">
        <f>VLOOKUP($A49,'Beef Animal Numbers'!$B$2:$I$54,3,FALSE)</f>
        <v>310</v>
      </c>
      <c r="E49" s="14">
        <f>VLOOKUP($A49,'Beef Animal Numbers'!$B$2:$I$54,5,FALSE)</f>
        <v>21</v>
      </c>
      <c r="F49" s="14">
        <f>VLOOKUP($A49,'Beef Animal Numbers'!$B$2:$I$54,6,FALSE)</f>
        <v>50</v>
      </c>
      <c r="G49" s="14">
        <f>VLOOKUP($A49,'Beef Animal Numbers'!$B$2:$I$54,7,FALSE)</f>
        <v>156</v>
      </c>
      <c r="H49" s="14">
        <f>VLOOKUP($A49,'Beef Animal Numbers'!$B$2:$I$54,8,FALSE)</f>
        <v>23</v>
      </c>
      <c r="I49" s="14">
        <f>VLOOKUP($A49,'Beef Animal Numbers'!$B$2:$I$54,4,FALSE)</f>
        <v>255</v>
      </c>
      <c r="J49" s="77">
        <f>( VLOOKUP($A49,'Beef diets'!$B$27:$J$76,2,FALSE)* 1000)/(C49*1000)</f>
        <v>8.7354838709677427</v>
      </c>
      <c r="K49" s="78">
        <f>( VLOOKUP($A49,'Beef diets'!$B$27:$J$76,3,FALSE)* 1000)/(D49*1000)</f>
        <v>78.693548387096769</v>
      </c>
      <c r="L49" s="78">
        <f>( VLOOKUP($A49,'Beef diets'!$B$27:$J$76,4,FALSE)* 1000)/(E49*1000)</f>
        <v>50.238095238095241</v>
      </c>
      <c r="M49" s="78">
        <f>( VLOOKUP($A49,'Beef diets'!$B$27:$J$76,5,FALSE)* 1000)/(F49*1000)</f>
        <v>58.32</v>
      </c>
      <c r="N49" s="78">
        <f>( VLOOKUP($A49,'Beef diets'!$B$27:$J$76,6,FALSE)* 1000)/(G49*1000)</f>
        <v>48.352564102564102</v>
      </c>
      <c r="O49" s="78">
        <f>( VLOOKUP($A49,'Beef diets'!$B$27:$J$76,7,FALSE)* 1000)/(H49*1000)</f>
        <v>50.826086956521742</v>
      </c>
      <c r="P49" s="84">
        <f>( VLOOKUP($A49,'Beef diets'!$B$27:$J$76,8,FALSE)/(I49*1000) ) * 1000</f>
        <v>44.423529411764711</v>
      </c>
      <c r="Q49" s="50">
        <f t="shared" ref="Q49:V49" si="96">((J49* 0.065)/55.65) * 1000</f>
        <v>10.20317073877634</v>
      </c>
      <c r="R49" s="51">
        <f t="shared" si="96"/>
        <v>91.915195780077099</v>
      </c>
      <c r="S49" s="51">
        <f t="shared" si="96"/>
        <v>58.678817438925265</v>
      </c>
      <c r="T49" s="51">
        <f t="shared" si="96"/>
        <v>68.118598382749326</v>
      </c>
      <c r="U49" s="51">
        <f t="shared" si="96"/>
        <v>56.476489967056011</v>
      </c>
      <c r="V49" s="51">
        <f t="shared" si="96"/>
        <v>59.365600218758551</v>
      </c>
      <c r="W49" s="52">
        <f t="shared" si="1"/>
        <v>31.132392579673382</v>
      </c>
      <c r="X49" s="80">
        <f t="shared" ref="X49:AD49" si="97">((Q49*(C49*1000) ) * 28)/1000000/1000</f>
        <v>4.4281761006289305E-2</v>
      </c>
      <c r="Y49" s="80">
        <f t="shared" si="97"/>
        <v>0.79782389937106912</v>
      </c>
      <c r="Z49" s="80">
        <f t="shared" si="97"/>
        <v>3.4503144654088047E-2</v>
      </c>
      <c r="AA49" s="80">
        <f t="shared" si="97"/>
        <v>9.5366037735849049E-2</v>
      </c>
      <c r="AB49" s="80">
        <f t="shared" si="97"/>
        <v>0.24668930817610066</v>
      </c>
      <c r="AC49" s="80">
        <f t="shared" si="97"/>
        <v>3.8231446540880509E-2</v>
      </c>
      <c r="AD49" s="80">
        <f t="shared" si="97"/>
        <v>0.22228528301886796</v>
      </c>
      <c r="AE49" s="85" t="str">
        <f t="shared" si="3"/>
        <v>WI</v>
      </c>
      <c r="AF49" s="82">
        <f t="shared" si="4"/>
        <v>1.4791808805031448</v>
      </c>
    </row>
    <row r="50" spans="1:32" ht="15.75" customHeight="1">
      <c r="A50" s="87" t="s">
        <v>83</v>
      </c>
      <c r="B50" s="33" t="s">
        <v>104</v>
      </c>
      <c r="C50" s="14">
        <f>VLOOKUP($A50,'Beef Animal Numbers'!$B$2:$I$54,2,FALSE)</f>
        <v>99</v>
      </c>
      <c r="D50" s="14">
        <f>VLOOKUP($A50,'Beef Animal Numbers'!$B$2:$I$54,3,FALSE)</f>
        <v>199</v>
      </c>
      <c r="E50" s="14">
        <f>VLOOKUP($A50,'Beef Animal Numbers'!$B$2:$I$54,5,FALSE)</f>
        <v>8</v>
      </c>
      <c r="F50" s="14">
        <f>VLOOKUP($A50,'Beef Animal Numbers'!$B$2:$I$54,6,FALSE)</f>
        <v>19</v>
      </c>
      <c r="G50" s="14">
        <f>VLOOKUP($A50,'Beef Animal Numbers'!$B$2:$I$54,7,FALSE)</f>
        <v>20</v>
      </c>
      <c r="H50" s="14">
        <f>VLOOKUP($A50,'Beef Animal Numbers'!$B$2:$I$54,8,FALSE)</f>
        <v>10</v>
      </c>
      <c r="I50" s="14">
        <f>VLOOKUP($A50,'Beef Animal Numbers'!$B$2:$I$54,4,FALSE)</f>
        <v>4</v>
      </c>
      <c r="J50" s="77">
        <f>( VLOOKUP($A50,'Beef diets'!$B$27:$J$76,2,FALSE)* 1000)/(C50*1000)</f>
        <v>9.0404040404040398</v>
      </c>
      <c r="K50" s="78">
        <f>( VLOOKUP($A50,'Beef diets'!$B$27:$J$76,3,FALSE)* 1000)/(D50*1000)</f>
        <v>80.718592964824126</v>
      </c>
      <c r="L50" s="78">
        <f>( VLOOKUP($A50,'Beef diets'!$B$27:$J$76,4,FALSE)* 1000)/(E50*1000)</f>
        <v>51.25</v>
      </c>
      <c r="M50" s="78">
        <f>( VLOOKUP($A50,'Beef diets'!$B$27:$J$76,5,FALSE)* 1000)/(F50*1000)</f>
        <v>59.578947368421055</v>
      </c>
      <c r="N50" s="78">
        <f>( VLOOKUP($A50,'Beef diets'!$B$27:$J$76,6,FALSE)* 1000)/(G50*1000)</f>
        <v>50.2</v>
      </c>
      <c r="O50" s="78">
        <f>( VLOOKUP($A50,'Beef diets'!$B$27:$J$76,7,FALSE)* 1000)/(H50*1000)</f>
        <v>52.9</v>
      </c>
      <c r="P50" s="84">
        <f>( VLOOKUP($A50,'Beef diets'!$B$27:$J$76,8,FALSE)/(I50*1000) ) * 1000</f>
        <v>47.25</v>
      </c>
      <c r="Q50" s="50">
        <f t="shared" ref="Q50:V50" si="98">((J50* 0.065)/55.65) * 1000</f>
        <v>10.559321880076597</v>
      </c>
      <c r="R50" s="51">
        <f t="shared" si="98"/>
        <v>94.280476958015598</v>
      </c>
      <c r="S50" s="51">
        <f t="shared" si="98"/>
        <v>59.860736747529209</v>
      </c>
      <c r="T50" s="51">
        <f t="shared" si="98"/>
        <v>69.5890670071405</v>
      </c>
      <c r="U50" s="51">
        <f t="shared" si="98"/>
        <v>58.634321653189581</v>
      </c>
      <c r="V50" s="51">
        <f t="shared" si="98"/>
        <v>61.78796046720575</v>
      </c>
      <c r="W50" s="52">
        <f t="shared" si="1"/>
        <v>33.113207547169807</v>
      </c>
      <c r="X50" s="80">
        <f t="shared" ref="X50:AD50" si="99">((Q50*(C50*1000) ) * 28)/1000000/1000</f>
        <v>2.9270440251572324E-2</v>
      </c>
      <c r="Y50" s="80">
        <f t="shared" si="99"/>
        <v>0.52533081761006295</v>
      </c>
      <c r="Z50" s="80">
        <f t="shared" si="99"/>
        <v>1.3408805031446543E-2</v>
      </c>
      <c r="AA50" s="80">
        <f t="shared" si="99"/>
        <v>3.702138364779875E-2</v>
      </c>
      <c r="AB50" s="80">
        <f t="shared" si="99"/>
        <v>3.2835220125786165E-2</v>
      </c>
      <c r="AC50" s="80">
        <f t="shared" si="99"/>
        <v>1.7300628930817612E-2</v>
      </c>
      <c r="AD50" s="80">
        <f t="shared" si="99"/>
        <v>3.7086792452830182E-3</v>
      </c>
      <c r="AE50" s="85" t="str">
        <f t="shared" si="3"/>
        <v>WV</v>
      </c>
      <c r="AF50" s="82">
        <f t="shared" si="4"/>
        <v>0.6588759748427675</v>
      </c>
    </row>
    <row r="51" spans="1:32" ht="15.75" customHeight="1">
      <c r="A51" s="88" t="s">
        <v>84</v>
      </c>
      <c r="B51" s="89" t="s">
        <v>104</v>
      </c>
      <c r="C51" s="14">
        <f>VLOOKUP($A51,'Beef Animal Numbers'!$B$2:$I$54,2,FALSE)</f>
        <v>361</v>
      </c>
      <c r="D51" s="14">
        <f>VLOOKUP($A51,'Beef Animal Numbers'!$B$2:$I$54,3,FALSE)</f>
        <v>724</v>
      </c>
      <c r="E51" s="14">
        <f>VLOOKUP($A51,'Beef Animal Numbers'!$B$2:$I$54,5,FALSE)</f>
        <v>38</v>
      </c>
      <c r="F51" s="14">
        <f>VLOOKUP($A51,'Beef Animal Numbers'!$B$2:$I$54,6,FALSE)</f>
        <v>90</v>
      </c>
      <c r="G51" s="14">
        <f>VLOOKUP($A51,'Beef Animal Numbers'!$B$2:$I$54,7,FALSE)</f>
        <v>71</v>
      </c>
      <c r="H51" s="14">
        <f>VLOOKUP($A51,'Beef Animal Numbers'!$B$2:$I$54,8,FALSE)</f>
        <v>59</v>
      </c>
      <c r="I51" s="14">
        <f>VLOOKUP($A51,'Beef Animal Numbers'!$B$2:$I$54,4,FALSE)</f>
        <v>71</v>
      </c>
      <c r="J51" s="90">
        <f>( VLOOKUP($A51,'Beef diets'!$B$27:$J$76,2,FALSE)* 1000)/(C51*1000)</f>
        <v>9.7091412742382275</v>
      </c>
      <c r="K51" s="91">
        <f>( VLOOKUP($A51,'Beef diets'!$B$27:$J$76,3,FALSE)* 1000)/(D51*1000)</f>
        <v>85.930939226519342</v>
      </c>
      <c r="L51" s="91">
        <f>( VLOOKUP($A51,'Beef diets'!$B$27:$J$76,4,FALSE)* 1000)/(E51*1000)</f>
        <v>54.631578947368418</v>
      </c>
      <c r="M51" s="91">
        <f>( VLOOKUP($A51,'Beef diets'!$B$27:$J$76,5,FALSE)* 1000)/(F51*1000)</f>
        <v>63.31111111111111</v>
      </c>
      <c r="N51" s="91">
        <f>( VLOOKUP($A51,'Beef diets'!$B$27:$J$76,6,FALSE)* 1000)/(G51*1000)</f>
        <v>53.464788732394368</v>
      </c>
      <c r="O51" s="91">
        <f>( VLOOKUP($A51,'Beef diets'!$B$27:$J$76,7,FALSE)* 1000)/(H51*1000)</f>
        <v>55.203389830508478</v>
      </c>
      <c r="P51" s="92">
        <f>( VLOOKUP($A51,'Beef diets'!$B$27:$J$76,8,FALSE)/(I51*1000) ) * 1000</f>
        <v>46.535211267605632</v>
      </c>
      <c r="Q51" s="50">
        <f t="shared" ref="Q51:V51" si="100">((J51* 0.065)/55.65) * 1000</f>
        <v>11.34041658266819</v>
      </c>
      <c r="R51" s="51">
        <f t="shared" si="100"/>
        <v>100.36857232208008</v>
      </c>
      <c r="S51" s="51">
        <f t="shared" si="100"/>
        <v>63.810469570151795</v>
      </c>
      <c r="T51" s="51">
        <f t="shared" si="100"/>
        <v>73.948287910552068</v>
      </c>
      <c r="U51" s="51">
        <f t="shared" si="100"/>
        <v>62.447641825797554</v>
      </c>
      <c r="V51" s="51">
        <f t="shared" si="100"/>
        <v>64.478352901761937</v>
      </c>
      <c r="W51" s="52">
        <f t="shared" si="1"/>
        <v>32.612277438214193</v>
      </c>
      <c r="X51" s="80">
        <f t="shared" ref="X51:AD51" si="101">((Q51*(C51*1000) ) * 28)/1000000/1000</f>
        <v>0.11462893081761005</v>
      </c>
      <c r="Y51" s="80">
        <f t="shared" si="101"/>
        <v>2.0346716981132076</v>
      </c>
      <c r="Z51" s="80">
        <f t="shared" si="101"/>
        <v>6.789433962264152E-2</v>
      </c>
      <c r="AA51" s="80">
        <f t="shared" si="101"/>
        <v>0.18634968553459119</v>
      </c>
      <c r="AB51" s="80">
        <f t="shared" si="101"/>
        <v>0.12414591194968552</v>
      </c>
      <c r="AC51" s="80">
        <f t="shared" si="101"/>
        <v>0.10651823899371073</v>
      </c>
      <c r="AD51" s="80">
        <f t="shared" si="101"/>
        <v>6.4833207547169827E-2</v>
      </c>
      <c r="AE51" s="85" t="str">
        <f t="shared" si="3"/>
        <v>WY</v>
      </c>
      <c r="AF51" s="82">
        <f t="shared" si="4"/>
        <v>2.6990420125786168</v>
      </c>
    </row>
    <row r="52" spans="1:32" ht="15.75" customHeight="1">
      <c r="A52" s="33">
        <f>'Beef Animal Numbers'!B53</f>
        <v>1</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row>
    <row r="53" spans="1:32" ht="15.75" customHeight="1">
      <c r="A53" s="33">
        <f>'Beef Animal Numbers'!B54</f>
        <v>0</v>
      </c>
      <c r="R53" s="93"/>
    </row>
    <row r="54" spans="1:32" ht="15.75" customHeight="1"/>
    <row r="55" spans="1:32" ht="15.75" customHeight="1">
      <c r="R55" s="93"/>
    </row>
    <row r="56" spans="1:32" ht="15.75" customHeight="1">
      <c r="R56" s="93"/>
    </row>
    <row r="57" spans="1:32" ht="15.75" customHeight="1"/>
    <row r="58" spans="1:32" ht="15.75" customHeight="1"/>
    <row r="59" spans="1:32" ht="15.75" customHeight="1"/>
    <row r="60" spans="1:32" ht="15.75" customHeight="1"/>
    <row r="61" spans="1:32" ht="15.75" customHeight="1"/>
    <row r="62" spans="1:32" ht="15.75" customHeight="1"/>
    <row r="63" spans="1:32" ht="15.75" customHeight="1"/>
    <row r="64" spans="1:3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H1"/>
    <mergeCell ref="J1:P1"/>
    <mergeCell ref="Q1:W1"/>
    <mergeCell ref="X1:AF1"/>
  </mergeCells>
  <hyperlinks>
    <hyperlink ref="A4"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A5AF"/>
    <outlinePr summaryBelow="0" summaryRight="0"/>
  </sheetPr>
  <dimension ref="A1:AO1000"/>
  <sheetViews>
    <sheetView workbookViewId="0">
      <pane xSplit="2" ySplit="3" topLeftCell="C4" activePane="bottomRight" state="frozen"/>
      <selection pane="topRight" activeCell="C1" sqref="C1"/>
      <selection pane="bottomLeft" activeCell="A4" sqref="A4"/>
      <selection pane="bottomRight" activeCell="C4" sqref="C4"/>
    </sheetView>
  </sheetViews>
  <sheetFormatPr baseColWidth="10" defaultColWidth="12.6640625" defaultRowHeight="15" customHeight="1"/>
  <cols>
    <col min="2" max="2" width="15" customWidth="1"/>
    <col min="17" max="18" width="9" customWidth="1"/>
    <col min="19" max="20" width="7.5" customWidth="1"/>
    <col min="21" max="21" width="5.1640625" customWidth="1"/>
    <col min="32" max="35" width="12.6640625" hidden="1"/>
  </cols>
  <sheetData>
    <row r="1" spans="1:41" ht="15.75" customHeight="1">
      <c r="A1" s="14"/>
      <c r="B1" s="14"/>
      <c r="C1" s="223" t="s">
        <v>106</v>
      </c>
      <c r="D1" s="214"/>
      <c r="E1" s="214"/>
      <c r="F1" s="214"/>
      <c r="G1" s="214"/>
      <c r="H1" s="214"/>
      <c r="I1" s="217"/>
      <c r="J1" s="224" t="s">
        <v>107</v>
      </c>
      <c r="K1" s="214"/>
      <c r="L1" s="214"/>
      <c r="M1" s="214"/>
      <c r="N1" s="214"/>
      <c r="O1" s="214"/>
      <c r="P1" s="217"/>
      <c r="Q1" s="225" t="s">
        <v>108</v>
      </c>
      <c r="R1" s="214"/>
      <c r="S1" s="214"/>
      <c r="T1" s="214"/>
      <c r="U1" s="214"/>
      <c r="V1" s="214"/>
      <c r="W1" s="226" t="s">
        <v>109</v>
      </c>
      <c r="X1" s="214"/>
      <c r="Y1" s="214"/>
      <c r="Z1" s="214"/>
      <c r="AA1" s="214"/>
      <c r="AB1" s="214"/>
      <c r="AC1" s="217"/>
      <c r="AD1" s="219" t="s">
        <v>90</v>
      </c>
      <c r="AE1" s="214"/>
      <c r="AF1" s="214"/>
      <c r="AG1" s="214"/>
      <c r="AH1" s="214"/>
      <c r="AI1" s="214"/>
      <c r="AJ1" s="214"/>
      <c r="AK1" s="214"/>
      <c r="AL1" s="217"/>
      <c r="AM1" s="45"/>
      <c r="AN1" s="45"/>
      <c r="AO1" s="45"/>
    </row>
    <row r="2" spans="1:41" ht="34.5" customHeight="1">
      <c r="A2" s="14" t="s">
        <v>31</v>
      </c>
      <c r="B2" s="14" t="s">
        <v>91</v>
      </c>
      <c r="C2" s="94" t="s">
        <v>92</v>
      </c>
      <c r="D2" s="45" t="s">
        <v>93</v>
      </c>
      <c r="E2" s="95" t="s">
        <v>98</v>
      </c>
      <c r="F2" s="45" t="s">
        <v>110</v>
      </c>
      <c r="G2" s="45" t="s">
        <v>111</v>
      </c>
      <c r="H2" s="45" t="s">
        <v>96</v>
      </c>
      <c r="I2" s="96" t="s">
        <v>97</v>
      </c>
      <c r="J2" s="94" t="s">
        <v>92</v>
      </c>
      <c r="K2" s="45" t="s">
        <v>93</v>
      </c>
      <c r="L2" s="45" t="s">
        <v>98</v>
      </c>
      <c r="M2" s="45" t="s">
        <v>110</v>
      </c>
      <c r="N2" s="45" t="s">
        <v>111</v>
      </c>
      <c r="O2" s="45" t="s">
        <v>96</v>
      </c>
      <c r="P2" s="96" t="s">
        <v>97</v>
      </c>
      <c r="Q2" s="14" t="s">
        <v>112</v>
      </c>
      <c r="R2" s="14" t="s">
        <v>113</v>
      </c>
      <c r="S2" s="14" t="s">
        <v>114</v>
      </c>
      <c r="T2" s="14" t="s">
        <v>115</v>
      </c>
      <c r="U2" s="14" t="s">
        <v>116</v>
      </c>
      <c r="V2" s="14" t="s">
        <v>117</v>
      </c>
      <c r="W2" s="97" t="s">
        <v>92</v>
      </c>
      <c r="X2" s="97" t="s">
        <v>93</v>
      </c>
      <c r="Y2" s="97" t="s">
        <v>118</v>
      </c>
      <c r="Z2" s="97" t="s">
        <v>110</v>
      </c>
      <c r="AA2" s="97" t="s">
        <v>110</v>
      </c>
      <c r="AB2" s="97" t="s">
        <v>96</v>
      </c>
      <c r="AC2" s="97" t="s">
        <v>97</v>
      </c>
      <c r="AD2" s="98" t="s">
        <v>119</v>
      </c>
      <c r="AE2" s="98" t="s">
        <v>120</v>
      </c>
      <c r="AF2" s="98" t="s">
        <v>121</v>
      </c>
      <c r="AG2" s="98" t="s">
        <v>122</v>
      </c>
      <c r="AH2" s="98" t="s">
        <v>123</v>
      </c>
      <c r="AI2" s="98" t="s">
        <v>124</v>
      </c>
      <c r="AJ2" s="98" t="s">
        <v>125</v>
      </c>
      <c r="AK2" s="98" t="s">
        <v>126</v>
      </c>
      <c r="AL2" s="64" t="s">
        <v>100</v>
      </c>
      <c r="AM2" s="99"/>
      <c r="AN2" s="99"/>
      <c r="AO2" s="99"/>
    </row>
    <row r="3" spans="1:41" ht="25.5" customHeight="1">
      <c r="A3" s="67"/>
      <c r="B3" s="67"/>
      <c r="C3" s="227" t="s">
        <v>127</v>
      </c>
      <c r="D3" s="212"/>
      <c r="E3" s="212"/>
      <c r="F3" s="212"/>
      <c r="G3" s="212"/>
      <c r="H3" s="212"/>
      <c r="I3" s="221"/>
      <c r="J3" s="227" t="s">
        <v>128</v>
      </c>
      <c r="K3" s="212"/>
      <c r="L3" s="212"/>
      <c r="M3" s="212"/>
      <c r="N3" s="212"/>
      <c r="O3" s="212"/>
      <c r="P3" s="221"/>
      <c r="Q3" s="100" t="s">
        <v>129</v>
      </c>
      <c r="R3" s="100" t="s">
        <v>129</v>
      </c>
      <c r="S3" s="101" t="s">
        <v>130</v>
      </c>
      <c r="T3" s="101" t="s">
        <v>130</v>
      </c>
      <c r="U3" s="67" t="s">
        <v>131</v>
      </c>
      <c r="V3" s="67" t="s">
        <v>131</v>
      </c>
      <c r="W3" s="220" t="s">
        <v>132</v>
      </c>
      <c r="X3" s="212"/>
      <c r="Y3" s="212"/>
      <c r="Z3" s="212"/>
      <c r="AA3" s="212"/>
      <c r="AB3" s="212"/>
      <c r="AC3" s="221"/>
      <c r="AD3" s="222" t="s">
        <v>36</v>
      </c>
      <c r="AE3" s="212"/>
      <c r="AF3" s="228" t="s">
        <v>36</v>
      </c>
      <c r="AG3" s="212"/>
      <c r="AH3" s="212"/>
      <c r="AI3" s="212"/>
      <c r="AJ3" s="212"/>
      <c r="AK3" s="212"/>
      <c r="AL3" s="75" t="s">
        <v>36</v>
      </c>
      <c r="AM3" s="66"/>
      <c r="AN3" s="66"/>
      <c r="AO3" s="66"/>
    </row>
    <row r="4" spans="1:41" ht="15.75" customHeight="1">
      <c r="A4" s="33" t="s">
        <v>37</v>
      </c>
      <c r="B4" s="33" t="s">
        <v>104</v>
      </c>
      <c r="C4" s="102">
        <f>(VLOOKUP($A4,'Beef Animal Numbers'!$B$2:$E$52,2,FALSE) * 1000) * VLOOKUP($A4,'volatile solids and nex'!$B$4:$V$53,13,FALSE)</f>
        <v>2517900</v>
      </c>
      <c r="D4" s="38">
        <f>(VLOOKUP($A4,'Beef Animal Numbers'!$B$2:$E$52,3,FALSE) * 1000) * VLOOKUP($A4,'volatile solids and nex'!$B$4:$V$53,8,FALSE)</f>
        <v>1237950000</v>
      </c>
      <c r="E4" s="38">
        <f>(VLOOKUP($A4,'Beef Animal Numbers'!$B$2:$E$52,4,FALSE) * 1000) * VLOOKUP($A4,'volatile solids and nex'!$B$4:$V$53,12,FALSE)</f>
        <v>369721000</v>
      </c>
      <c r="F4" s="38">
        <f>(VLOOKUP($A4,'Beef Animal Numbers'!$B$2:$I$52,5,FALSE) * 1000) * VLOOKUP($A4,'volatile solids and nex'!$B$4:$V$53,9,FALSE)</f>
        <v>34216000</v>
      </c>
      <c r="G4" s="38">
        <f>(VLOOKUP($A4,'Beef Animal Numbers'!$B$2:$I$52,6,FALSE) * 1000) * VLOOKUP($A4,'volatile solids and nex'!$B$4:$V$53,11,FALSE)</f>
        <v>46163000</v>
      </c>
      <c r="H4" s="38">
        <f>(VLOOKUP($A4,'Beef Animal Numbers'!$B$2:$I$52,7,FALSE) * 1000) * VLOOKUP($A4,'volatile solids and nex'!$B$4:$V$53,10,FALSE)</f>
        <v>318915000</v>
      </c>
      <c r="I4" s="103">
        <f>(VLOOKUP($A4,'Beef Animal Numbers'!$B$2:$I$52,8,FALSE) * 1000) * VLOOKUP($A4,'volatile solids and nex'!$B$4:$V$53,11,FALSE)</f>
        <v>67522000</v>
      </c>
      <c r="J4" s="102">
        <f>(VLOOKUP($A4,'Beef Animal Numbers'!$B$2:$E$52,2,FALSE) * 1000) * VLOOKUP($A4,'volatile solids and nex'!$B$4:$W$53,22,FALSE)</f>
        <v>147150</v>
      </c>
      <c r="K4" s="38">
        <f>(VLOOKUP($A4,'Beef Animal Numbers'!$B$2:$E$52,3,FALSE) * 1000) * VLOOKUP($A4,'volatile solids and nex'!$B$4:$W$53,16,FALSE)</f>
        <v>38645000</v>
      </c>
      <c r="L4" s="38">
        <f>(VLOOKUP($A4,'Beef Animal Numbers'!$B$2:$E$52,4,FALSE) * 1000) * VLOOKUP($A4,'volatile solids and nex'!$B$4:$W$53,20,FALSE)</f>
        <v>33060000</v>
      </c>
      <c r="M4" s="38">
        <f>(VLOOKUP($A4,'Beef Animal Numbers'!$B$2:$I$52,5,FALSE) * 1000) * VLOOKUP($A4,'volatile solids and nex'!$B$4:$W$53,17,FALSE)</f>
        <v>1092000</v>
      </c>
      <c r="N4" s="38">
        <f>(VLOOKUP($A4,'Beef Animal Numbers'!$B$2:$I$52,6,FALSE) * 1000) * VLOOKUP($A4,'volatile solids and nex'!$B$4:$W$53,19,FALSE)</f>
        <v>3953000</v>
      </c>
      <c r="O4" s="38">
        <f>(VLOOKUP($A4,'Beef Animal Numbers'!$B$2:$I$52,7,FALSE) * 1000) * VLOOKUP($A4,'volatile solids and nex'!$B$4:$W$53,18,FALSE)</f>
        <v>9405000</v>
      </c>
      <c r="P4" s="103">
        <f>(VLOOKUP($A4,'Beef Animal Numbers'!$B$2:$I$52,8,FALSE) * 1000) * VLOOKUP($A4,'volatile solids and nex'!$B$4:$W$53,19,FALSE)</f>
        <v>5782000</v>
      </c>
      <c r="Q4" s="33">
        <v>0.33</v>
      </c>
      <c r="R4" s="33">
        <v>0.17</v>
      </c>
      <c r="S4" s="104">
        <v>0.47</v>
      </c>
      <c r="T4" s="33">
        <f>VLOOKUP(A4,'avg ann temp, manure EFs'!$B$3:$J$52,6,FALSE)</f>
        <v>1.5</v>
      </c>
      <c r="U4" s="33">
        <v>100</v>
      </c>
      <c r="V4" s="34">
        <v>100</v>
      </c>
      <c r="W4" s="47">
        <f>0.662*C4*$R4 * (S4/100)</f>
        <v>1331.8129901999998</v>
      </c>
      <c r="X4" s="34">
        <f t="shared" ref="X4:X51" si="0">0.662*D4*$R4* (S4/100)</f>
        <v>654798.79709999985</v>
      </c>
      <c r="Y4" s="34">
        <f t="shared" ref="Y4:Y51" si="1">0.662*E4*$Q4*(T4/100)</f>
        <v>1211538.7448999998</v>
      </c>
      <c r="Z4" s="34">
        <f t="shared" ref="Z4:Z51" si="2">0.662*F4*$R4* (S4/100)</f>
        <v>18098.142607999998</v>
      </c>
      <c r="AA4" s="34">
        <f t="shared" ref="AA4:AA51" si="3">0.662*G4*$R4* (S4/100)</f>
        <v>24417.364893999998</v>
      </c>
      <c r="AB4" s="34">
        <f t="shared" ref="AB4:AB51" si="4">0.662*H4*$R4* (S4/100)</f>
        <v>168686.26226999998</v>
      </c>
      <c r="AC4" s="34">
        <f t="shared" ref="AC4:AC51" si="5">0.662*I4*$R4* (S4/100)</f>
        <v>35714.951635999998</v>
      </c>
      <c r="AD4" s="105">
        <f t="shared" ref="AD4:AD51" si="6">((Y4)/1000/1000000)*28</f>
        <v>3.3923084857199998E-2</v>
      </c>
      <c r="AE4" s="105">
        <f>((W4+X4+Z4+AB4+AA4+AC4)/1000/1000000)*28</f>
        <v>2.5285325281949593E-2</v>
      </c>
      <c r="AF4" s="105">
        <f>(((J4+K4+M4+O4+N4+P4) * 0.01 * (44/28))/1000/1000000 ) * 265</f>
        <v>0.24579342464285714</v>
      </c>
      <c r="AG4" s="106">
        <f t="shared" ref="AG4:AG51" si="7">(((L4) * 0.01 * (44/28))/1000/1000000 ) * 265</f>
        <v>0.13767128571428572</v>
      </c>
      <c r="AH4" s="107">
        <f t="shared" ref="AH4:AH51" si="8">(((J4+K4+M4+O4+N4+P4) * 0 * 0.01 * (44/28))/1000/1000000 ) * 265 + (((J4+K4+M4+O4+N4+P4) * 0.02 * 0.0075 * (44/28))/1000/1000000 ) * 265</f>
        <v>3.6869013696428574E-3</v>
      </c>
      <c r="AI4" s="107">
        <f t="shared" ref="AI4:AI51" si="9">(((L4) * 0.23 * 0.01 * (44/28))/1000/1000000 ) * 265 + (((L4) * 0.02 * 0.0075 * (44/28))/1000/1000000 ) * 265</f>
        <v>3.3729465E-2</v>
      </c>
      <c r="AJ4" s="105">
        <f t="shared" ref="AJ4:AJ51" si="10">AG4+AI4</f>
        <v>0.17140075071428573</v>
      </c>
      <c r="AK4" s="105">
        <f t="shared" ref="AK4:AK51" si="11">AF4+AH4</f>
        <v>0.2494803260125</v>
      </c>
      <c r="AL4" s="108">
        <f t="shared" ref="AL4:AL51" si="12">SUM(AJ4:AK4,AD4:AE4)</f>
        <v>0.48008948686593533</v>
      </c>
      <c r="AM4" s="45"/>
      <c r="AN4" s="45"/>
      <c r="AO4" s="45"/>
    </row>
    <row r="5" spans="1:41" ht="15.75" customHeight="1">
      <c r="A5" s="33" t="s">
        <v>38</v>
      </c>
      <c r="B5" s="33" t="s">
        <v>104</v>
      </c>
      <c r="C5" s="102">
        <f>(VLOOKUP($A5,'Beef Animal Numbers'!$B$2:$E$52,2,FALSE) * 1000) * VLOOKUP($A5,'volatile solids and nex'!$B$4:$V$53,13,FALSE)</f>
        <v>1401400</v>
      </c>
      <c r="D5" s="38">
        <f>(VLOOKUP($A5,'Beef Animal Numbers'!$B$2:$E$52,3,FALSE) * 1000) * VLOOKUP($A5,'volatile solids and nex'!$B$4:$V$53,8,FALSE)</f>
        <v>583270000</v>
      </c>
      <c r="E5" s="38">
        <f>(VLOOKUP($A5,'Beef Animal Numbers'!$B$2:$E$52,4,FALSE) * 1000) * VLOOKUP($A5,'volatile solids and nex'!$B$4:$V$53,12,FALSE)</f>
        <v>276452000</v>
      </c>
      <c r="F5" s="38">
        <f>(VLOOKUP($A5,'Beef Animal Numbers'!$B$2:$I$52,5,FALSE) * 1000) * VLOOKUP($A5,'volatile solids and nex'!$B$4:$V$53,9,FALSE)</f>
        <v>22286000</v>
      </c>
      <c r="G5" s="38">
        <f>(VLOOKUP($A5,'Beef Animal Numbers'!$B$2:$I$52,6,FALSE) * 1000) * VLOOKUP($A5,'volatile solids and nex'!$B$4:$V$53,11,FALSE)</f>
        <v>36517000</v>
      </c>
      <c r="H5" s="38">
        <f>(VLOOKUP($A5,'Beef Animal Numbers'!$B$2:$I$52,7,FALSE) * 1000) * VLOOKUP($A5,'volatile solids and nex'!$B$4:$V$53,10,FALSE)</f>
        <v>221314000</v>
      </c>
      <c r="I5" s="103">
        <f>(VLOOKUP($A5,'Beef Animal Numbers'!$B$2:$I$52,8,FALSE) * 1000) * VLOOKUP($A5,'volatile solids and nex'!$B$4:$V$53,11,FALSE)</f>
        <v>51675000</v>
      </c>
      <c r="J5" s="102">
        <f>(VLOOKUP($A5,'Beef Animal Numbers'!$B$2:$E$52,2,FALSE) * 1000) * VLOOKUP($A5,'volatile solids and nex'!$B$4:$W$53,22,FALSE)</f>
        <v>81900</v>
      </c>
      <c r="K5" s="38">
        <f>(VLOOKUP($A5,'Beef Animal Numbers'!$B$2:$E$52,3,FALSE) * 1000) * VLOOKUP($A5,'volatile solids and nex'!$B$4:$W$53,16,FALSE)</f>
        <v>27375000</v>
      </c>
      <c r="L5" s="38">
        <f>(VLOOKUP($A5,'Beef Animal Numbers'!$B$2:$E$52,4,FALSE) * 1000) * VLOOKUP($A5,'volatile solids and nex'!$B$4:$W$53,20,FALSE)</f>
        <v>24720000</v>
      </c>
      <c r="M5" s="38">
        <f>(VLOOKUP($A5,'Beef Animal Numbers'!$B$2:$I$52,5,FALSE) * 1000) * VLOOKUP($A5,'volatile solids and nex'!$B$4:$W$53,17,FALSE)</f>
        <v>1078000</v>
      </c>
      <c r="N5" s="38">
        <f>(VLOOKUP($A5,'Beef Animal Numbers'!$B$2:$I$52,6,FALSE) * 1000) * VLOOKUP($A5,'volatile solids and nex'!$B$4:$W$53,19,FALSE)</f>
        <v>3127000</v>
      </c>
      <c r="O5" s="38">
        <f>(VLOOKUP($A5,'Beef Animal Numbers'!$B$2:$I$52,7,FALSE) * 1000) * VLOOKUP($A5,'volatile solids and nex'!$B$4:$W$53,18,FALSE)</f>
        <v>10277000</v>
      </c>
      <c r="P5" s="103">
        <f>(VLOOKUP($A5,'Beef Animal Numbers'!$B$2:$I$52,8,FALSE) * 1000) * VLOOKUP($A5,'volatile solids and nex'!$B$4:$W$53,19,FALSE)</f>
        <v>4425000</v>
      </c>
      <c r="Q5" s="33">
        <v>0.33</v>
      </c>
      <c r="R5" s="33">
        <v>0.17</v>
      </c>
      <c r="S5" s="104">
        <v>0.47</v>
      </c>
      <c r="T5" s="33">
        <f>VLOOKUP(A5,'avg ann temp, manure EFs'!$B$3:$J$52,6,FALSE)</f>
        <v>1</v>
      </c>
      <c r="U5" s="33">
        <v>100</v>
      </c>
      <c r="V5" s="34">
        <v>100</v>
      </c>
      <c r="W5" s="34">
        <f t="shared" ref="W5:W51" si="13">0.662*C5*$R5 * (S5/100)</f>
        <v>741.25371319999999</v>
      </c>
      <c r="X5" s="34">
        <f t="shared" si="0"/>
        <v>308513.66725999996</v>
      </c>
      <c r="Y5" s="34">
        <f t="shared" si="1"/>
        <v>603937.0392</v>
      </c>
      <c r="Z5" s="34">
        <f t="shared" si="2"/>
        <v>11787.912268</v>
      </c>
      <c r="AA5" s="34">
        <f t="shared" si="3"/>
        <v>19315.228945999999</v>
      </c>
      <c r="AB5" s="34">
        <f t="shared" si="4"/>
        <v>117061.384532</v>
      </c>
      <c r="AC5" s="34">
        <f t="shared" si="5"/>
        <v>27332.871149999995</v>
      </c>
      <c r="AD5" s="105">
        <f t="shared" si="6"/>
        <v>1.6910237097599999E-2</v>
      </c>
      <c r="AE5" s="105">
        <f>((W4+X5+Z5+AB5+AA5+AC5)/1000/1000000)*28</f>
        <v>1.35896005600936E-2</v>
      </c>
      <c r="AF5" s="105">
        <f t="shared" ref="AF5:AF51" si="14">(((J5+K5+M5+O5+N5+P5)/2 * 0.01 * (44/28))/1000/1000000 ) * 265</f>
        <v>9.6536263214285711E-2</v>
      </c>
      <c r="AG5" s="106">
        <f t="shared" si="7"/>
        <v>0.10294114285714286</v>
      </c>
      <c r="AH5" s="107">
        <f t="shared" si="8"/>
        <v>2.896087896428571E-3</v>
      </c>
      <c r="AI5" s="107">
        <f t="shared" si="9"/>
        <v>2.5220579999999999E-2</v>
      </c>
      <c r="AJ5" s="105">
        <f t="shared" si="10"/>
        <v>0.12816172285714286</v>
      </c>
      <c r="AK5" s="105">
        <f t="shared" si="11"/>
        <v>9.9432351110714287E-2</v>
      </c>
      <c r="AL5" s="108">
        <f t="shared" si="12"/>
        <v>0.25809391162555073</v>
      </c>
      <c r="AM5" s="45"/>
      <c r="AN5" s="45"/>
      <c r="AO5" s="45"/>
    </row>
    <row r="6" spans="1:41" ht="15.75" customHeight="1">
      <c r="A6" s="33" t="s">
        <v>39</v>
      </c>
      <c r="B6" s="33" t="s">
        <v>104</v>
      </c>
      <c r="C6" s="102">
        <f>(VLOOKUP($A6,'Beef Animal Numbers'!$B$2:$E$52,2,FALSE) * 1000) * VLOOKUP($A6,'volatile solids and nex'!$B$4:$V$53,13,FALSE)</f>
        <v>400400</v>
      </c>
      <c r="D6" s="38">
        <f>(VLOOKUP($A6,'Beef Animal Numbers'!$B$2:$E$52,3,FALSE) * 1000) * VLOOKUP($A6,'volatile solids and nex'!$B$4:$V$53,8,FALSE)</f>
        <v>175560000</v>
      </c>
      <c r="E6" s="38">
        <f>(VLOOKUP($A6,'Beef Animal Numbers'!$B$2:$E$52,4,FALSE) * 1000) * VLOOKUP($A6,'volatile solids and nex'!$B$4:$V$53,12,FALSE)</f>
        <v>15433000</v>
      </c>
      <c r="F6" s="38">
        <f>(VLOOKUP($A6,'Beef Animal Numbers'!$B$2:$I$52,5,FALSE) * 1000) * VLOOKUP($A6,'volatile solids and nex'!$B$4:$V$53,9,FALSE)</f>
        <v>9765000</v>
      </c>
      <c r="G6" s="38">
        <f>(VLOOKUP($A6,'Beef Animal Numbers'!$B$2:$I$52,6,FALSE) * 1000) * VLOOKUP($A6,'volatile solids and nex'!$B$4:$V$53,11,FALSE)</f>
        <v>15158000</v>
      </c>
      <c r="H6" s="38">
        <f>(VLOOKUP($A6,'Beef Animal Numbers'!$B$2:$I$52,7,FALSE) * 1000) * VLOOKUP($A6,'volatile solids and nex'!$B$4:$V$53,10,FALSE)</f>
        <v>24475000</v>
      </c>
      <c r="I6" s="103">
        <f>(VLOOKUP($A6,'Beef Animal Numbers'!$B$2:$I$52,8,FALSE) * 1000) * VLOOKUP($A6,'volatile solids and nex'!$B$4:$V$53,11,FALSE)</f>
        <v>13091000</v>
      </c>
      <c r="J6" s="102">
        <f>(VLOOKUP($A6,'Beef Animal Numbers'!$B$2:$E$52,2,FALSE) * 1000) * VLOOKUP($A6,'volatile solids and nex'!$B$4:$W$53,22,FALSE)</f>
        <v>23400</v>
      </c>
      <c r="K6" s="38">
        <f>(VLOOKUP($A6,'Beef Animal Numbers'!$B$2:$E$52,3,FALSE) * 1000) * VLOOKUP($A6,'volatile solids and nex'!$B$4:$W$53,16,FALSE)</f>
        <v>7770000</v>
      </c>
      <c r="L6" s="38">
        <f>(VLOOKUP($A6,'Beef Animal Numbers'!$B$2:$E$52,4,FALSE) * 1000) * VLOOKUP($A6,'volatile solids and nex'!$B$4:$W$53,20,FALSE)</f>
        <v>1380000</v>
      </c>
      <c r="M6" s="38">
        <f>(VLOOKUP($A6,'Beef Animal Numbers'!$B$2:$I$52,5,FALSE) * 1000) * VLOOKUP($A6,'volatile solids and nex'!$B$4:$W$53,17,FALSE)</f>
        <v>450000</v>
      </c>
      <c r="N6" s="38">
        <f>(VLOOKUP($A6,'Beef Animal Numbers'!$B$2:$I$52,6,FALSE) * 1000) * VLOOKUP($A6,'volatile solids and nex'!$B$4:$W$53,19,FALSE)</f>
        <v>1298000</v>
      </c>
      <c r="O6" s="38">
        <f>(VLOOKUP($A6,'Beef Animal Numbers'!$B$2:$I$52,7,FALSE) * 1000) * VLOOKUP($A6,'volatile solids and nex'!$B$4:$W$53,18,FALSE)</f>
        <v>1050000</v>
      </c>
      <c r="P6" s="103">
        <f>(VLOOKUP($A6,'Beef Animal Numbers'!$B$2:$I$52,8,FALSE) * 1000) * VLOOKUP($A6,'volatile solids and nex'!$B$4:$W$53,19,FALSE)</f>
        <v>1121000</v>
      </c>
      <c r="Q6" s="33">
        <v>0.33</v>
      </c>
      <c r="R6" s="33">
        <v>0.17</v>
      </c>
      <c r="S6" s="104">
        <v>0.47</v>
      </c>
      <c r="T6" s="33">
        <f>VLOOKUP(A6,'avg ann temp, manure EFs'!$B$3:$J$52,6,FALSE)</f>
        <v>1</v>
      </c>
      <c r="U6" s="33">
        <v>100</v>
      </c>
      <c r="V6" s="34">
        <v>100</v>
      </c>
      <c r="W6" s="34">
        <f t="shared" si="13"/>
        <v>211.78677519999999</v>
      </c>
      <c r="X6" s="34">
        <f t="shared" si="0"/>
        <v>92860.355280000003</v>
      </c>
      <c r="Y6" s="34">
        <f t="shared" si="1"/>
        <v>33714.931800000006</v>
      </c>
      <c r="Z6" s="34">
        <f t="shared" si="2"/>
        <v>5165.0795699999999</v>
      </c>
      <c r="AA6" s="34">
        <f t="shared" si="3"/>
        <v>8017.6422039999989</v>
      </c>
      <c r="AB6" s="34">
        <f t="shared" si="4"/>
        <v>12945.757549999998</v>
      </c>
      <c r="AC6" s="34">
        <f t="shared" si="5"/>
        <v>6924.3273579999995</v>
      </c>
      <c r="AD6" s="105">
        <f t="shared" si="6"/>
        <v>9.4401809040000001E-4</v>
      </c>
      <c r="AE6" s="105">
        <f t="shared" ref="AE6:AE51" si="15">((W6+X6+Z6+AB6+AA6+AC6)/1000/1000000)*28</f>
        <v>3.5314985646416001E-3</v>
      </c>
      <c r="AF6" s="105">
        <f t="shared" si="14"/>
        <v>2.4386890000000001E-2</v>
      </c>
      <c r="AG6" s="106">
        <f t="shared" si="7"/>
        <v>5.7467142857142856E-3</v>
      </c>
      <c r="AH6" s="107">
        <f t="shared" si="8"/>
        <v>7.316066999999999E-4</v>
      </c>
      <c r="AI6" s="107">
        <f t="shared" si="9"/>
        <v>1.4079450000000001E-3</v>
      </c>
      <c r="AJ6" s="105">
        <f t="shared" si="10"/>
        <v>7.1546592857142854E-3</v>
      </c>
      <c r="AK6" s="105">
        <f t="shared" si="11"/>
        <v>2.51184967E-2</v>
      </c>
      <c r="AL6" s="108">
        <f t="shared" si="12"/>
        <v>3.6748672640755882E-2</v>
      </c>
      <c r="AM6" s="45"/>
      <c r="AN6" s="45"/>
      <c r="AO6" s="45"/>
    </row>
    <row r="7" spans="1:41" ht="15.75" customHeight="1">
      <c r="A7" s="109" t="s">
        <v>40</v>
      </c>
      <c r="B7" s="33" t="s">
        <v>104</v>
      </c>
      <c r="C7" s="102">
        <f>(VLOOKUP($A7,'Beef Animal Numbers'!$B$2:$E$52,2,FALSE) * 1000) * VLOOKUP($A7,'volatile solids and nex'!$B$4:$V$53,13,FALSE)</f>
        <v>2671900</v>
      </c>
      <c r="D7" s="38">
        <f>(VLOOKUP($A7,'Beef Animal Numbers'!$B$2:$E$52,3,FALSE) * 1000) * VLOOKUP($A7,'volatile solids and nex'!$B$4:$V$53,8,FALSE)</f>
        <v>1157448000</v>
      </c>
      <c r="E7" s="38">
        <f>(VLOOKUP($A7,'Beef Animal Numbers'!$B$2:$E$52,4,FALSE) * 1000) * VLOOKUP($A7,'volatile solids and nex'!$B$4:$V$53,12,FALSE)</f>
        <v>4697000</v>
      </c>
      <c r="F7" s="38">
        <f>(VLOOKUP($A7,'Beef Animal Numbers'!$B$2:$I$52,5,FALSE) * 1000) * VLOOKUP($A7,'volatile solids and nex'!$B$4:$V$53,9,FALSE)</f>
        <v>30772000</v>
      </c>
      <c r="G7" s="38">
        <f>(VLOOKUP($A7,'Beef Animal Numbers'!$B$2:$I$52,6,FALSE) * 1000) * VLOOKUP($A7,'volatile solids and nex'!$B$4:$V$53,11,FALSE)</f>
        <v>46163000</v>
      </c>
      <c r="H7" s="38">
        <f>(VLOOKUP($A7,'Beef Animal Numbers'!$B$2:$I$52,7,FALSE) * 1000) * VLOOKUP($A7,'volatile solids and nex'!$B$4:$V$53,10,FALSE)</f>
        <v>20433000</v>
      </c>
      <c r="I7" s="103">
        <f>(VLOOKUP($A7,'Beef Animal Numbers'!$B$2:$I$52,8,FALSE) * 1000) * VLOOKUP($A7,'volatile solids and nex'!$B$4:$V$53,11,FALSE)</f>
        <v>14469000</v>
      </c>
      <c r="J7" s="102">
        <f>(VLOOKUP($A7,'Beef Animal Numbers'!$B$2:$E$52,2,FALSE) * 1000) * VLOOKUP($A7,'volatile solids and nex'!$B$4:$W$53,22,FALSE)</f>
        <v>156150</v>
      </c>
      <c r="K7" s="38">
        <f>(VLOOKUP($A7,'Beef Animal Numbers'!$B$2:$E$52,3,FALSE) * 1000) * VLOOKUP($A7,'volatile solids and nex'!$B$4:$W$53,16,FALSE)</f>
        <v>50808000</v>
      </c>
      <c r="L7" s="38">
        <f>(VLOOKUP($A7,'Beef Animal Numbers'!$B$2:$E$52,4,FALSE) * 1000) * VLOOKUP($A7,'volatile solids and nex'!$B$4:$W$53,20,FALSE)</f>
        <v>420000</v>
      </c>
      <c r="M7" s="38">
        <f>(VLOOKUP($A7,'Beef Animal Numbers'!$B$2:$I$52,5,FALSE) * 1000) * VLOOKUP($A7,'volatile solids and nex'!$B$4:$W$53,17,FALSE)</f>
        <v>1400000</v>
      </c>
      <c r="N7" s="38">
        <f>(VLOOKUP($A7,'Beef Animal Numbers'!$B$2:$I$52,6,FALSE) * 1000) * VLOOKUP($A7,'volatile solids and nex'!$B$4:$W$53,19,FALSE)</f>
        <v>3886000</v>
      </c>
      <c r="O7" s="38">
        <f>(VLOOKUP($A7,'Beef Animal Numbers'!$B$2:$I$52,7,FALSE) * 1000) * VLOOKUP($A7,'volatile solids and nex'!$B$4:$W$53,18,FALSE)</f>
        <v>861000</v>
      </c>
      <c r="P7" s="103">
        <f>(VLOOKUP($A7,'Beef Animal Numbers'!$B$2:$I$52,8,FALSE) * 1000) * VLOOKUP($A7,'volatile solids and nex'!$B$4:$W$53,19,FALSE)</f>
        <v>1218000</v>
      </c>
      <c r="Q7" s="33">
        <v>0.33</v>
      </c>
      <c r="R7" s="33">
        <v>0.17</v>
      </c>
      <c r="S7" s="104">
        <v>0.47</v>
      </c>
      <c r="T7" s="33">
        <f>VLOOKUP(A7,'avg ann temp, manure EFs'!$B$3:$J$52,6,FALSE)</f>
        <v>1.5</v>
      </c>
      <c r="U7" s="33">
        <v>100</v>
      </c>
      <c r="V7" s="34">
        <v>100</v>
      </c>
      <c r="W7" s="34">
        <f t="shared" si="13"/>
        <v>1413.2694422</v>
      </c>
      <c r="X7" s="34">
        <f t="shared" si="0"/>
        <v>612218.23022399994</v>
      </c>
      <c r="Y7" s="34">
        <f t="shared" si="1"/>
        <v>15391.5993</v>
      </c>
      <c r="Z7" s="34">
        <f t="shared" si="2"/>
        <v>16276.480136</v>
      </c>
      <c r="AA7" s="34">
        <f t="shared" si="3"/>
        <v>24417.364893999998</v>
      </c>
      <c r="AB7" s="34">
        <f t="shared" si="4"/>
        <v>10807.790154</v>
      </c>
      <c r="AC7" s="34">
        <f t="shared" si="5"/>
        <v>7653.2039219999988</v>
      </c>
      <c r="AD7" s="105">
        <f t="shared" si="6"/>
        <v>4.3096478039999998E-4</v>
      </c>
      <c r="AE7" s="105">
        <f t="shared" si="15"/>
        <v>1.8838017485621597E-2</v>
      </c>
      <c r="AF7" s="105">
        <f t="shared" si="14"/>
        <v>0.12144962303571429</v>
      </c>
      <c r="AG7" s="106">
        <f t="shared" si="7"/>
        <v>1.7489999999999999E-3</v>
      </c>
      <c r="AH7" s="107">
        <f t="shared" si="8"/>
        <v>3.6434886910714282E-3</v>
      </c>
      <c r="AI7" s="107">
        <f t="shared" si="9"/>
        <v>4.2850500000000003E-4</v>
      </c>
      <c r="AJ7" s="105">
        <f t="shared" si="10"/>
        <v>2.1775049999999997E-3</v>
      </c>
      <c r="AK7" s="105">
        <f t="shared" si="11"/>
        <v>0.12509311172678572</v>
      </c>
      <c r="AL7" s="108">
        <f t="shared" si="12"/>
        <v>0.14653959899280733</v>
      </c>
      <c r="AM7" s="45"/>
      <c r="AN7" s="45"/>
      <c r="AO7" s="45"/>
    </row>
    <row r="8" spans="1:41" ht="15.75" customHeight="1">
      <c r="A8" s="110" t="s">
        <v>41</v>
      </c>
      <c r="B8" s="45" t="s">
        <v>104</v>
      </c>
      <c r="C8" s="102">
        <f>(VLOOKUP($A8,'Beef Animal Numbers'!$B$2:$E$52,2,FALSE) * 1000) * VLOOKUP($A8,'volatile solids and nex'!$B$4:$V$53,13,FALSE)</f>
        <v>3511200</v>
      </c>
      <c r="D8" s="38">
        <f>(VLOOKUP($A8,'Beef Animal Numbers'!$B$2:$E$52,3,FALSE) * 1000) * VLOOKUP($A8,'volatile solids and nex'!$B$4:$V$53,8,FALSE)</f>
        <v>1521645000</v>
      </c>
      <c r="E8" s="38">
        <f>(VLOOKUP($A8,'Beef Animal Numbers'!$B$2:$E$52,4,FALSE) * 1000) * VLOOKUP($A8,'volatile solids and nex'!$B$4:$V$53,12,FALSE)</f>
        <v>9394000</v>
      </c>
      <c r="F8" s="38">
        <f>(VLOOKUP($A8,'Beef Animal Numbers'!$B$2:$I$52,5,FALSE) * 1000) * VLOOKUP($A8,'volatile solids and nex'!$B$4:$V$53,9,FALSE)</f>
        <v>38325000</v>
      </c>
      <c r="G8" s="38">
        <f>(VLOOKUP($A8,'Beef Animal Numbers'!$B$2:$I$52,6,FALSE) * 1000) * VLOOKUP($A8,'volatile solids and nex'!$B$4:$V$53,11,FALSE)</f>
        <v>57876000</v>
      </c>
      <c r="H8" s="38">
        <f>(VLOOKUP($A8,'Beef Animal Numbers'!$B$2:$I$52,7,FALSE) * 1000) * VLOOKUP($A8,'volatile solids and nex'!$B$4:$V$53,10,FALSE)</f>
        <v>51569000</v>
      </c>
      <c r="I8" s="103">
        <f>(VLOOKUP($A8,'Beef Animal Numbers'!$B$2:$I$52,8,FALSE) * 1000) * VLOOKUP($A8,'volatile solids and nex'!$B$4:$V$53,11,FALSE)</f>
        <v>22737000</v>
      </c>
      <c r="J8" s="102">
        <f>(VLOOKUP($A8,'Beef Animal Numbers'!$B$2:$E$52,2,FALSE) * 1000) * VLOOKUP($A8,'volatile solids and nex'!$B$4:$W$53,22,FALSE)</f>
        <v>205200</v>
      </c>
      <c r="K8" s="38">
        <f>(VLOOKUP($A8,'Beef Animal Numbers'!$B$2:$E$52,3,FALSE) * 1000) * VLOOKUP($A8,'volatile solids and nex'!$B$4:$W$53,16,FALSE)</f>
        <v>66795000</v>
      </c>
      <c r="L8" s="38">
        <f>(VLOOKUP($A8,'Beef Animal Numbers'!$B$2:$E$52,4,FALSE) * 1000) * VLOOKUP($A8,'volatile solids and nex'!$B$4:$W$53,20,FALSE)</f>
        <v>840000</v>
      </c>
      <c r="M8" s="38">
        <f>(VLOOKUP($A8,'Beef Animal Numbers'!$B$2:$I$52,5,FALSE) * 1000) * VLOOKUP($A8,'volatile solids and nex'!$B$4:$W$53,17,FALSE)</f>
        <v>1750000</v>
      </c>
      <c r="N8" s="38">
        <f>(VLOOKUP($A8,'Beef Animal Numbers'!$B$2:$I$52,6,FALSE) * 1000) * VLOOKUP($A8,'volatile solids and nex'!$B$4:$W$53,19,FALSE)</f>
        <v>4872000</v>
      </c>
      <c r="O8" s="38">
        <f>(VLOOKUP($A8,'Beef Animal Numbers'!$B$2:$I$52,7,FALSE) * 1000) * VLOOKUP($A8,'volatile solids and nex'!$B$4:$W$53,18,FALSE)</f>
        <v>2173000</v>
      </c>
      <c r="P8" s="103">
        <f>(VLOOKUP($A8,'Beef Animal Numbers'!$B$2:$I$52,8,FALSE) * 1000) * VLOOKUP($A8,'volatile solids and nex'!$B$4:$W$53,19,FALSE)</f>
        <v>1914000</v>
      </c>
      <c r="Q8" s="33">
        <v>0.33</v>
      </c>
      <c r="R8" s="33">
        <v>0.17</v>
      </c>
      <c r="S8" s="104">
        <v>0.47</v>
      </c>
      <c r="T8" s="33">
        <f>VLOOKUP(A8,'avg ann temp, manure EFs'!$B$3:$J$52,6,FALSE)</f>
        <v>1.5</v>
      </c>
      <c r="U8" s="33">
        <v>100</v>
      </c>
      <c r="V8" s="34">
        <v>100</v>
      </c>
      <c r="W8" s="34">
        <f t="shared" si="13"/>
        <v>1857.2071056</v>
      </c>
      <c r="X8" s="34">
        <f t="shared" si="0"/>
        <v>804855.86300999997</v>
      </c>
      <c r="Y8" s="34">
        <f t="shared" si="1"/>
        <v>30783.1986</v>
      </c>
      <c r="Z8" s="34">
        <f t="shared" si="2"/>
        <v>20271.548849999996</v>
      </c>
      <c r="AA8" s="34">
        <f t="shared" si="3"/>
        <v>30612.815687999995</v>
      </c>
      <c r="AB8" s="34">
        <f t="shared" si="4"/>
        <v>27276.803722000001</v>
      </c>
      <c r="AC8" s="34">
        <f t="shared" si="5"/>
        <v>12026.463305999998</v>
      </c>
      <c r="AD8" s="105">
        <f t="shared" si="6"/>
        <v>8.6192956079999996E-4</v>
      </c>
      <c r="AE8" s="105">
        <f t="shared" si="15"/>
        <v>2.5113219647084798E-2</v>
      </c>
      <c r="AF8" s="105">
        <f t="shared" si="14"/>
        <v>0.16180165571428573</v>
      </c>
      <c r="AG8" s="106">
        <f t="shared" si="7"/>
        <v>3.4979999999999998E-3</v>
      </c>
      <c r="AH8" s="107">
        <f t="shared" si="8"/>
        <v>4.8540496714285708E-3</v>
      </c>
      <c r="AI8" s="107">
        <f t="shared" si="9"/>
        <v>8.5701000000000006E-4</v>
      </c>
      <c r="AJ8" s="105">
        <f t="shared" si="10"/>
        <v>4.3550099999999994E-3</v>
      </c>
      <c r="AK8" s="105">
        <f t="shared" si="11"/>
        <v>0.16665570538571431</v>
      </c>
      <c r="AL8" s="108">
        <f t="shared" si="12"/>
        <v>0.1969858645935991</v>
      </c>
      <c r="AM8" s="45"/>
      <c r="AN8" s="45"/>
      <c r="AO8" s="45"/>
    </row>
    <row r="9" spans="1:41" ht="15.75" customHeight="1">
      <c r="A9" s="110" t="s">
        <v>42</v>
      </c>
      <c r="B9" s="45" t="s">
        <v>104</v>
      </c>
      <c r="C9" s="102">
        <f>(VLOOKUP($A9,'Beef Animal Numbers'!$B$2:$E$52,2,FALSE) * 1000) * VLOOKUP($A9,'volatile solids and nex'!$B$4:$V$53,13,FALSE)</f>
        <v>746900</v>
      </c>
      <c r="D9" s="38">
        <f>(VLOOKUP($A9,'Beef Animal Numbers'!$B$2:$E$52,3,FALSE) * 1000) * VLOOKUP($A9,'volatile solids and nex'!$B$4:$V$53,8,FALSE)</f>
        <v>366660000</v>
      </c>
      <c r="E9" s="38">
        <f>(VLOOKUP($A9,'Beef Animal Numbers'!$B$2:$E$52,4,FALSE) * 1000) * VLOOKUP($A9,'volatile solids and nex'!$B$4:$V$53,12,FALSE)</f>
        <v>181440000</v>
      </c>
      <c r="F9" s="38">
        <f>(VLOOKUP($A9,'Beef Animal Numbers'!$B$2:$I$52,5,FALSE) * 1000) * VLOOKUP($A9,'volatile solids and nex'!$B$4:$V$53,9,FALSE)</f>
        <v>7506000</v>
      </c>
      <c r="G9" s="38">
        <f>(VLOOKUP($A9,'Beef Animal Numbers'!$B$2:$I$52,6,FALSE) * 1000) * VLOOKUP($A9,'volatile solids and nex'!$B$4:$V$53,11,FALSE)</f>
        <v>9646000</v>
      </c>
      <c r="H9" s="38">
        <f>(VLOOKUP($A9,'Beef Animal Numbers'!$B$2:$I$52,7,FALSE) * 1000) * VLOOKUP($A9,'volatile solids and nex'!$B$4:$V$53,10,FALSE)</f>
        <v>140994000</v>
      </c>
      <c r="I9" s="103">
        <f>(VLOOKUP($A9,'Beef Animal Numbers'!$B$2:$I$52,8,FALSE) * 1000) * VLOOKUP($A9,'volatile solids and nex'!$B$4:$V$53,11,FALSE)</f>
        <v>4823000</v>
      </c>
      <c r="J9" s="102">
        <f>(VLOOKUP($A9,'Beef Animal Numbers'!$B$2:$E$52,2,FALSE) * 1000) * VLOOKUP($A9,'volatile solids and nex'!$B$4:$W$53,22,FALSE)</f>
        <v>43650</v>
      </c>
      <c r="K9" s="38">
        <f>(VLOOKUP($A9,'Beef Animal Numbers'!$B$2:$E$52,3,FALSE) * 1000) * VLOOKUP($A9,'volatile solids and nex'!$B$4:$W$53,16,FALSE)</f>
        <v>11446000</v>
      </c>
      <c r="L9" s="38">
        <f>(VLOOKUP($A9,'Beef Animal Numbers'!$B$2:$E$52,4,FALSE) * 1000) * VLOOKUP($A9,'volatile solids and nex'!$B$4:$W$53,20,FALSE)</f>
        <v>16200000</v>
      </c>
      <c r="M9" s="38">
        <f>(VLOOKUP($A9,'Beef Animal Numbers'!$B$2:$I$52,5,FALSE) * 1000) * VLOOKUP($A9,'volatile solids and nex'!$B$4:$W$53,17,FALSE)</f>
        <v>246000</v>
      </c>
      <c r="N9" s="38">
        <f>(VLOOKUP($A9,'Beef Animal Numbers'!$B$2:$I$52,6,FALSE) * 1000) * VLOOKUP($A9,'volatile solids and nex'!$B$4:$W$53,19,FALSE)</f>
        <v>826000</v>
      </c>
      <c r="O9" s="38">
        <f>(VLOOKUP($A9,'Beef Animal Numbers'!$B$2:$I$52,7,FALSE) * 1000) * VLOOKUP($A9,'volatile solids and nex'!$B$4:$W$53,18,FALSE)</f>
        <v>4158000</v>
      </c>
      <c r="P9" s="103">
        <f>(VLOOKUP($A9,'Beef Animal Numbers'!$B$2:$I$52,8,FALSE) * 1000) * VLOOKUP($A9,'volatile solids and nex'!$B$4:$W$53,19,FALSE)</f>
        <v>413000</v>
      </c>
      <c r="Q9" s="33">
        <v>0.33</v>
      </c>
      <c r="R9" s="33">
        <v>0.17</v>
      </c>
      <c r="S9" s="104">
        <v>0.47</v>
      </c>
      <c r="T9" s="33">
        <f>VLOOKUP(A9,'avg ann temp, manure EFs'!$B$3:$J$52,6,FALSE)</f>
        <v>1.5</v>
      </c>
      <c r="U9" s="33">
        <v>100</v>
      </c>
      <c r="V9" s="34">
        <v>100</v>
      </c>
      <c r="W9" s="34">
        <f t="shared" si="13"/>
        <v>395.06379220000002</v>
      </c>
      <c r="X9" s="34">
        <f t="shared" si="0"/>
        <v>193940.40708</v>
      </c>
      <c r="Y9" s="34">
        <f t="shared" si="1"/>
        <v>594560.73599999992</v>
      </c>
      <c r="Z9" s="34">
        <f t="shared" si="2"/>
        <v>3970.2086279999999</v>
      </c>
      <c r="AA9" s="34">
        <f t="shared" si="3"/>
        <v>5102.1359480000001</v>
      </c>
      <c r="AB9" s="34">
        <f t="shared" si="4"/>
        <v>74577.084371999998</v>
      </c>
      <c r="AC9" s="34">
        <f t="shared" si="5"/>
        <v>2551.067974</v>
      </c>
      <c r="AD9" s="105">
        <f t="shared" si="6"/>
        <v>1.6647700607999999E-2</v>
      </c>
      <c r="AE9" s="105">
        <f t="shared" si="15"/>
        <v>7.855007098237601E-3</v>
      </c>
      <c r="AF9" s="105">
        <f t="shared" si="14"/>
        <v>3.5672624821428571E-2</v>
      </c>
      <c r="AG9" s="106">
        <f t="shared" si="7"/>
        <v>6.7461428571428575E-2</v>
      </c>
      <c r="AH9" s="107">
        <f t="shared" si="8"/>
        <v>1.0701787446428573E-3</v>
      </c>
      <c r="AI9" s="107">
        <f t="shared" si="9"/>
        <v>1.6528049999999999E-2</v>
      </c>
      <c r="AJ9" s="105">
        <f t="shared" si="10"/>
        <v>8.3989478571428577E-2</v>
      </c>
      <c r="AK9" s="105">
        <f t="shared" si="11"/>
        <v>3.674280356607143E-2</v>
      </c>
      <c r="AL9" s="108">
        <f t="shared" si="12"/>
        <v>0.14523498984373762</v>
      </c>
      <c r="AM9" s="45"/>
      <c r="AN9" s="45"/>
      <c r="AO9" s="45"/>
    </row>
    <row r="10" spans="1:41" ht="15.75" customHeight="1">
      <c r="A10" s="110" t="s">
        <v>43</v>
      </c>
      <c r="B10" s="45" t="s">
        <v>104</v>
      </c>
      <c r="C10" s="102">
        <f>(VLOOKUP($A10,'Beef Animal Numbers'!$B$2:$E$52,2,FALSE) * 1000) * VLOOKUP($A10,'volatile solids and nex'!$B$4:$V$53,13,FALSE)</f>
        <v>2964500</v>
      </c>
      <c r="D10" s="38">
        <f>(VLOOKUP($A10,'Beef Animal Numbers'!$B$2:$E$52,3,FALSE) * 1000) * VLOOKUP($A10,'volatile solids and nex'!$B$4:$V$53,8,FALSE)</f>
        <v>1457190000</v>
      </c>
      <c r="E10" s="38">
        <f>(VLOOKUP($A10,'Beef Animal Numbers'!$B$2:$E$52,4,FALSE) * 1000) * VLOOKUP($A10,'volatile solids and nex'!$B$4:$V$53,12,FALSE)</f>
        <v>758230000</v>
      </c>
      <c r="F10" s="38">
        <f>(VLOOKUP($A10,'Beef Animal Numbers'!$B$2:$I$52,5,FALSE) * 1000) * VLOOKUP($A10,'volatile solids and nex'!$B$4:$V$53,9,FALSE)</f>
        <v>43236000</v>
      </c>
      <c r="G10" s="38">
        <f>(VLOOKUP($A10,'Beef Animal Numbers'!$B$2:$I$52,6,FALSE) * 1000) * VLOOKUP($A10,'volatile solids and nex'!$B$4:$V$53,11,FALSE)</f>
        <v>59943000</v>
      </c>
      <c r="H10" s="38">
        <f>(VLOOKUP($A10,'Beef Animal Numbers'!$B$2:$I$52,7,FALSE) * 1000) * VLOOKUP($A10,'volatile solids and nex'!$B$4:$V$53,10,FALSE)</f>
        <v>400602000</v>
      </c>
      <c r="I10" s="103">
        <f>(VLOOKUP($A10,'Beef Animal Numbers'!$B$2:$I$52,8,FALSE) * 1000) * VLOOKUP($A10,'volatile solids and nex'!$B$4:$V$53,11,FALSE)</f>
        <v>183274000</v>
      </c>
      <c r="J10" s="102">
        <f>(VLOOKUP($A10,'Beef Animal Numbers'!$B$2:$E$52,2,FALSE) * 1000) * VLOOKUP($A10,'volatile solids and nex'!$B$4:$W$53,22,FALSE)</f>
        <v>173250</v>
      </c>
      <c r="K10" s="38">
        <f>(VLOOKUP($A10,'Beef Animal Numbers'!$B$2:$E$52,3,FALSE) * 1000) * VLOOKUP($A10,'volatile solids and nex'!$B$4:$W$53,16,FALSE)</f>
        <v>45489000</v>
      </c>
      <c r="L10" s="38">
        <f>(VLOOKUP($A10,'Beef Animal Numbers'!$B$2:$E$52,4,FALSE) * 1000) * VLOOKUP($A10,'volatile solids and nex'!$B$4:$W$53,20,FALSE)</f>
        <v>67800000</v>
      </c>
      <c r="M10" s="38">
        <f>(VLOOKUP($A10,'Beef Animal Numbers'!$B$2:$I$52,5,FALSE) * 1000) * VLOOKUP($A10,'volatile solids and nex'!$B$4:$W$53,17,FALSE)</f>
        <v>1368000</v>
      </c>
      <c r="N10" s="38">
        <f>(VLOOKUP($A10,'Beef Animal Numbers'!$B$2:$I$52,6,FALSE) * 1000) * VLOOKUP($A10,'volatile solids and nex'!$B$4:$W$53,19,FALSE)</f>
        <v>5133000</v>
      </c>
      <c r="O10" s="38">
        <f>(VLOOKUP($A10,'Beef Animal Numbers'!$B$2:$I$52,7,FALSE) * 1000) * VLOOKUP($A10,'volatile solids and nex'!$B$4:$W$53,18,FALSE)</f>
        <v>11814000</v>
      </c>
      <c r="P10" s="103">
        <f>(VLOOKUP($A10,'Beef Animal Numbers'!$B$2:$I$52,8,FALSE) * 1000) * VLOOKUP($A10,'volatile solids and nex'!$B$4:$W$53,19,FALSE)</f>
        <v>15694000</v>
      </c>
      <c r="Q10" s="33">
        <v>0.33</v>
      </c>
      <c r="R10" s="33">
        <v>0.17</v>
      </c>
      <c r="S10" s="104">
        <v>0.47</v>
      </c>
      <c r="T10" s="33">
        <f>VLOOKUP(A10,'avg ann temp, manure EFs'!$B$3:$J$52,6,FALSE)</f>
        <v>1</v>
      </c>
      <c r="U10" s="33">
        <v>100</v>
      </c>
      <c r="V10" s="34">
        <v>100</v>
      </c>
      <c r="W10" s="34">
        <f t="shared" si="13"/>
        <v>1568.0367009999998</v>
      </c>
      <c r="X10" s="34">
        <f t="shared" si="0"/>
        <v>770763.16422000004</v>
      </c>
      <c r="Y10" s="34">
        <f t="shared" si="1"/>
        <v>1656429.2580000001</v>
      </c>
      <c r="Z10" s="34">
        <f t="shared" si="2"/>
        <v>22869.163367999998</v>
      </c>
      <c r="AA10" s="34">
        <f t="shared" si="3"/>
        <v>31706.130534</v>
      </c>
      <c r="AB10" s="34">
        <f t="shared" si="4"/>
        <v>211893.62067599999</v>
      </c>
      <c r="AC10" s="34">
        <f t="shared" si="5"/>
        <v>96940.583011999988</v>
      </c>
      <c r="AD10" s="105">
        <f t="shared" si="6"/>
        <v>4.6380019224000001E-2</v>
      </c>
      <c r="AE10" s="105">
        <f t="shared" si="15"/>
        <v>3.1800739558308005E-2</v>
      </c>
      <c r="AF10" s="105">
        <f t="shared" si="14"/>
        <v>0.16588692410714284</v>
      </c>
      <c r="AG10" s="106">
        <f t="shared" si="7"/>
        <v>0.28233857142857138</v>
      </c>
      <c r="AH10" s="107">
        <f t="shared" si="8"/>
        <v>4.9766077232142854E-3</v>
      </c>
      <c r="AI10" s="107">
        <f t="shared" si="9"/>
        <v>6.9172950000000011E-2</v>
      </c>
      <c r="AJ10" s="105">
        <f t="shared" si="10"/>
        <v>0.35151152142857139</v>
      </c>
      <c r="AK10" s="105">
        <f t="shared" si="11"/>
        <v>0.17086353183035713</v>
      </c>
      <c r="AL10" s="108">
        <f t="shared" si="12"/>
        <v>0.60055581204123654</v>
      </c>
      <c r="AM10" s="45"/>
      <c r="AN10" s="45"/>
      <c r="AO10" s="45"/>
    </row>
    <row r="11" spans="1:41" ht="15.75" customHeight="1">
      <c r="A11" s="110" t="s">
        <v>44</v>
      </c>
      <c r="B11" s="45" t="s">
        <v>104</v>
      </c>
      <c r="C11" s="102">
        <f>(VLOOKUP($A11,'Beef Animal Numbers'!$B$2:$E$52,2,FALSE) * 1000) * VLOOKUP($A11,'volatile solids and nex'!$B$4:$V$53,13,FALSE)</f>
        <v>23100</v>
      </c>
      <c r="D11" s="38">
        <f>(VLOOKUP($A11,'Beef Animal Numbers'!$B$2:$E$52,3,FALSE) * 1000) * VLOOKUP($A11,'volatile solids and nex'!$B$4:$V$53,8,FALSE)</f>
        <v>10032000</v>
      </c>
      <c r="E11" s="38">
        <f>(VLOOKUP($A11,'Beef Animal Numbers'!$B$2:$E$52,4,FALSE) * 1000) * VLOOKUP($A11,'volatile solids and nex'!$B$4:$V$53,12,FALSE)</f>
        <v>0</v>
      </c>
      <c r="F11" s="38">
        <f>(VLOOKUP($A11,'Beef Animal Numbers'!$B$2:$I$52,5,FALSE) * 1000) * VLOOKUP($A11,'volatile solids and nex'!$B$4:$V$53,9,FALSE)</f>
        <v>0</v>
      </c>
      <c r="G11" s="38">
        <f>(VLOOKUP($A11,'Beef Animal Numbers'!$B$2:$I$52,6,FALSE) * 1000) * VLOOKUP($A11,'volatile solids and nex'!$B$4:$V$53,11,FALSE)</f>
        <v>689000</v>
      </c>
      <c r="H11" s="38">
        <f>(VLOOKUP($A11,'Beef Animal Numbers'!$B$2:$I$52,7,FALSE) * 1000) * VLOOKUP($A11,'volatile solids and nex'!$B$4:$V$53,10,FALSE)</f>
        <v>979000</v>
      </c>
      <c r="I11" s="103">
        <f>(VLOOKUP($A11,'Beef Animal Numbers'!$B$2:$I$52,8,FALSE) * 1000) * VLOOKUP($A11,'volatile solids and nex'!$B$4:$V$53,11,FALSE)</f>
        <v>689000</v>
      </c>
      <c r="J11" s="102">
        <f>(VLOOKUP($A11,'Beef Animal Numbers'!$B$2:$E$52,2,FALSE) * 1000) * VLOOKUP($A11,'volatile solids and nex'!$B$4:$W$53,22,FALSE)</f>
        <v>1350</v>
      </c>
      <c r="K11" s="38">
        <f>(VLOOKUP($A11,'Beef Animal Numbers'!$B$2:$E$52,3,FALSE) * 1000) * VLOOKUP($A11,'volatile solids and nex'!$B$4:$W$53,16,FALSE)</f>
        <v>444000</v>
      </c>
      <c r="L11" s="38">
        <f>(VLOOKUP($A11,'Beef Animal Numbers'!$B$2:$E$52,4,FALSE) * 1000) * VLOOKUP($A11,'volatile solids and nex'!$B$4:$W$53,20,FALSE)</f>
        <v>0</v>
      </c>
      <c r="M11" s="38">
        <f>(VLOOKUP($A11,'Beef Animal Numbers'!$B$2:$I$52,5,FALSE) * 1000) * VLOOKUP($A11,'volatile solids and nex'!$B$4:$W$53,17,FALSE)</f>
        <v>0</v>
      </c>
      <c r="N11" s="38">
        <f>(VLOOKUP($A11,'Beef Animal Numbers'!$B$2:$I$52,6,FALSE) * 1000) * VLOOKUP($A11,'volatile solids and nex'!$B$4:$W$53,19,FALSE)</f>
        <v>58000</v>
      </c>
      <c r="O11" s="38">
        <f>(VLOOKUP($A11,'Beef Animal Numbers'!$B$2:$I$52,7,FALSE) * 1000) * VLOOKUP($A11,'volatile solids and nex'!$B$4:$W$53,18,FALSE)</f>
        <v>42000</v>
      </c>
      <c r="P11" s="103">
        <f>(VLOOKUP($A11,'Beef Animal Numbers'!$B$2:$I$52,8,FALSE) * 1000) * VLOOKUP($A11,'volatile solids and nex'!$B$4:$W$53,19,FALSE)</f>
        <v>58000</v>
      </c>
      <c r="Q11" s="33">
        <v>0.33</v>
      </c>
      <c r="R11" s="33">
        <v>0.17</v>
      </c>
      <c r="S11" s="104">
        <v>0.47</v>
      </c>
      <c r="T11" s="33">
        <f>VLOOKUP(A11,'avg ann temp, manure EFs'!$B$3:$J$52,6,FALSE)</f>
        <v>1</v>
      </c>
      <c r="U11" s="33">
        <v>100</v>
      </c>
      <c r="V11" s="34">
        <v>100</v>
      </c>
      <c r="W11" s="34">
        <f t="shared" si="13"/>
        <v>12.218467800000001</v>
      </c>
      <c r="X11" s="34">
        <f t="shared" si="0"/>
        <v>5306.3060159999995</v>
      </c>
      <c r="Y11" s="34">
        <f t="shared" si="1"/>
        <v>0</v>
      </c>
      <c r="Z11" s="34">
        <f t="shared" si="2"/>
        <v>0</v>
      </c>
      <c r="AA11" s="34">
        <f t="shared" si="3"/>
        <v>364.43828200000002</v>
      </c>
      <c r="AB11" s="34">
        <f t="shared" si="4"/>
        <v>517.83030199999996</v>
      </c>
      <c r="AC11" s="34">
        <f t="shared" si="5"/>
        <v>364.43828200000002</v>
      </c>
      <c r="AD11" s="105">
        <f t="shared" si="6"/>
        <v>0</v>
      </c>
      <c r="AE11" s="105">
        <f t="shared" si="15"/>
        <v>1.8382647779440002E-4</v>
      </c>
      <c r="AF11" s="105">
        <f t="shared" si="14"/>
        <v>1.256260892857143E-3</v>
      </c>
      <c r="AG11" s="106">
        <f t="shared" si="7"/>
        <v>0</v>
      </c>
      <c r="AH11" s="107">
        <f t="shared" si="8"/>
        <v>3.7687826785714287E-5</v>
      </c>
      <c r="AI11" s="107">
        <f t="shared" si="9"/>
        <v>0</v>
      </c>
      <c r="AJ11" s="105">
        <f t="shared" si="10"/>
        <v>0</v>
      </c>
      <c r="AK11" s="105">
        <f t="shared" si="11"/>
        <v>1.2939487196428573E-3</v>
      </c>
      <c r="AL11" s="108">
        <f t="shared" si="12"/>
        <v>1.4777751974372573E-3</v>
      </c>
      <c r="AM11" s="45"/>
      <c r="AN11" s="45"/>
      <c r="AO11" s="45"/>
    </row>
    <row r="12" spans="1:41" ht="15.75" customHeight="1">
      <c r="A12" s="110" t="s">
        <v>45</v>
      </c>
      <c r="B12" s="45" t="s">
        <v>104</v>
      </c>
      <c r="C12" s="102">
        <f>(VLOOKUP($A12,'Beef Animal Numbers'!$B$2:$E$52,2,FALSE) * 1000) * VLOOKUP($A12,'volatile solids and nex'!$B$4:$V$53,13,FALSE)</f>
        <v>7700</v>
      </c>
      <c r="D12" s="38">
        <f>(VLOOKUP($A12,'Beef Animal Numbers'!$B$2:$E$52,3,FALSE) * 1000) * VLOOKUP($A12,'volatile solids and nex'!$B$4:$V$53,8,FALSE)</f>
        <v>3344000</v>
      </c>
      <c r="E12" s="38">
        <f>(VLOOKUP($A12,'Beef Animal Numbers'!$B$2:$E$52,4,FALSE) * 1000) * VLOOKUP($A12,'volatile solids and nex'!$B$4:$V$53,12,FALSE)</f>
        <v>0</v>
      </c>
      <c r="F12" s="38">
        <f>(VLOOKUP($A12,'Beef Animal Numbers'!$B$2:$I$52,5,FALSE) * 1000) * VLOOKUP($A12,'volatile solids and nex'!$B$4:$V$53,9,FALSE)</f>
        <v>0</v>
      </c>
      <c r="G12" s="38">
        <f>(VLOOKUP($A12,'Beef Animal Numbers'!$B$2:$I$52,6,FALSE) * 1000) * VLOOKUP($A12,'volatile solids and nex'!$B$4:$V$53,11,FALSE)</f>
        <v>0</v>
      </c>
      <c r="H12" s="38">
        <f>(VLOOKUP($A12,'Beef Animal Numbers'!$B$2:$I$52,7,FALSE) * 1000) * VLOOKUP($A12,'volatile solids and nex'!$B$4:$V$53,10,FALSE)</f>
        <v>979000</v>
      </c>
      <c r="I12" s="103">
        <f>(VLOOKUP($A12,'Beef Animal Numbers'!$B$2:$I$52,8,FALSE) * 1000) * VLOOKUP($A12,'volatile solids and nex'!$B$4:$V$53,11,FALSE)</f>
        <v>0</v>
      </c>
      <c r="J12" s="102">
        <f>(VLOOKUP($A12,'Beef Animal Numbers'!$B$2:$E$52,2,FALSE) * 1000) * VLOOKUP($A12,'volatile solids and nex'!$B$4:$W$53,22,FALSE)</f>
        <v>450</v>
      </c>
      <c r="K12" s="38">
        <f>(VLOOKUP($A12,'Beef Animal Numbers'!$B$2:$E$52,3,FALSE) * 1000) * VLOOKUP($A12,'volatile solids and nex'!$B$4:$W$53,16,FALSE)</f>
        <v>148000</v>
      </c>
      <c r="L12" s="38">
        <f>(VLOOKUP($A12,'Beef Animal Numbers'!$B$2:$E$52,4,FALSE) * 1000) * VLOOKUP($A12,'volatile solids and nex'!$B$4:$W$53,20,FALSE)</f>
        <v>0</v>
      </c>
      <c r="M12" s="38">
        <f>(VLOOKUP($A12,'Beef Animal Numbers'!$B$2:$I$52,5,FALSE) * 1000) * VLOOKUP($A12,'volatile solids and nex'!$B$4:$W$53,17,FALSE)</f>
        <v>0</v>
      </c>
      <c r="N12" s="38">
        <f>(VLOOKUP($A12,'Beef Animal Numbers'!$B$2:$I$52,6,FALSE) * 1000) * VLOOKUP($A12,'volatile solids and nex'!$B$4:$W$53,19,FALSE)</f>
        <v>0</v>
      </c>
      <c r="O12" s="38">
        <f>(VLOOKUP($A12,'Beef Animal Numbers'!$B$2:$I$52,7,FALSE) * 1000) * VLOOKUP($A12,'volatile solids and nex'!$B$4:$W$53,18,FALSE)</f>
        <v>42000</v>
      </c>
      <c r="P12" s="103">
        <f>(VLOOKUP($A12,'Beef Animal Numbers'!$B$2:$I$52,8,FALSE) * 1000) * VLOOKUP($A12,'volatile solids and nex'!$B$4:$W$53,19,FALSE)</f>
        <v>0</v>
      </c>
      <c r="Q12" s="33">
        <v>0.33</v>
      </c>
      <c r="R12" s="33">
        <v>0.17</v>
      </c>
      <c r="S12" s="104">
        <v>0.47</v>
      </c>
      <c r="T12" s="33">
        <f>VLOOKUP(A12,'avg ann temp, manure EFs'!$B$3:$J$52,6,FALSE)</f>
        <v>1</v>
      </c>
      <c r="U12" s="33">
        <v>100</v>
      </c>
      <c r="V12" s="34">
        <v>100</v>
      </c>
      <c r="W12" s="34">
        <f t="shared" si="13"/>
        <v>4.0728226000000003</v>
      </c>
      <c r="X12" s="34">
        <f t="shared" si="0"/>
        <v>1768.7686719999997</v>
      </c>
      <c r="Y12" s="34">
        <f t="shared" si="1"/>
        <v>0</v>
      </c>
      <c r="Z12" s="34">
        <f t="shared" si="2"/>
        <v>0</v>
      </c>
      <c r="AA12" s="34">
        <f t="shared" si="3"/>
        <v>0</v>
      </c>
      <c r="AB12" s="34">
        <f t="shared" si="4"/>
        <v>517.83030199999996</v>
      </c>
      <c r="AC12" s="34">
        <f t="shared" si="5"/>
        <v>0</v>
      </c>
      <c r="AD12" s="105">
        <f t="shared" si="6"/>
        <v>0</v>
      </c>
      <c r="AE12" s="105">
        <f t="shared" si="15"/>
        <v>6.4138810304799999E-5</v>
      </c>
      <c r="AF12" s="105">
        <f t="shared" si="14"/>
        <v>3.9654410714285712E-4</v>
      </c>
      <c r="AG12" s="106">
        <f t="shared" si="7"/>
        <v>0</v>
      </c>
      <c r="AH12" s="107">
        <f t="shared" si="8"/>
        <v>1.1896323214285713E-5</v>
      </c>
      <c r="AI12" s="107">
        <f t="shared" si="9"/>
        <v>0</v>
      </c>
      <c r="AJ12" s="105">
        <f t="shared" si="10"/>
        <v>0</v>
      </c>
      <c r="AK12" s="105">
        <f t="shared" si="11"/>
        <v>4.0844043035714281E-4</v>
      </c>
      <c r="AL12" s="108">
        <f t="shared" si="12"/>
        <v>4.7257924066194284E-4</v>
      </c>
      <c r="AM12" s="45"/>
      <c r="AN12" s="45"/>
      <c r="AO12" s="45"/>
    </row>
    <row r="13" spans="1:41" ht="15.75" customHeight="1">
      <c r="A13" s="110" t="s">
        <v>46</v>
      </c>
      <c r="B13" s="45" t="s">
        <v>104</v>
      </c>
      <c r="C13" s="102">
        <f>(VLOOKUP($A13,'Beef Animal Numbers'!$B$2:$E$52,2,FALSE) * 1000) * VLOOKUP($A13,'volatile solids and nex'!$B$4:$V$53,13,FALSE)</f>
        <v>3472700</v>
      </c>
      <c r="D13" s="38">
        <f>(VLOOKUP($A13,'Beef Animal Numbers'!$B$2:$E$52,3,FALSE) * 1000) * VLOOKUP($A13,'volatile solids and nex'!$B$4:$V$53,8,FALSE)</f>
        <v>1503352000</v>
      </c>
      <c r="E13" s="38">
        <f>(VLOOKUP($A13,'Beef Animal Numbers'!$B$2:$E$52,4,FALSE) * 1000) * VLOOKUP($A13,'volatile solids and nex'!$B$4:$V$53,12,FALSE)</f>
        <v>2684000</v>
      </c>
      <c r="F13" s="38">
        <f>(VLOOKUP($A13,'Beef Animal Numbers'!$B$2:$I$52,5,FALSE) * 1000) * VLOOKUP($A13,'volatile solids and nex'!$B$4:$V$53,9,FALSE)</f>
        <v>34317000</v>
      </c>
      <c r="G13" s="38">
        <f>(VLOOKUP($A13,'Beef Animal Numbers'!$B$2:$I$52,6,FALSE) * 1000) * VLOOKUP($A13,'volatile solids and nex'!$B$4:$V$53,11,FALSE)</f>
        <v>50297000</v>
      </c>
      <c r="H13" s="38">
        <f>(VLOOKUP($A13,'Beef Animal Numbers'!$B$2:$I$52,7,FALSE) * 1000) * VLOOKUP($A13,'volatile solids and nex'!$B$4:$V$53,10,FALSE)</f>
        <v>10703000</v>
      </c>
      <c r="I13" s="103">
        <f>(VLOOKUP($A13,'Beef Animal Numbers'!$B$2:$I$52,8,FALSE) * 1000) * VLOOKUP($A13,'volatile solids and nex'!$B$4:$V$53,11,FALSE)</f>
        <v>8268000</v>
      </c>
      <c r="J13" s="102">
        <f>(VLOOKUP($A13,'Beef Animal Numbers'!$B$2:$E$52,2,FALSE) * 1000) * VLOOKUP($A13,'volatile solids and nex'!$B$4:$W$53,22,FALSE)</f>
        <v>202950</v>
      </c>
      <c r="K13" s="38">
        <f>(VLOOKUP($A13,'Beef Animal Numbers'!$B$2:$E$52,3,FALSE) * 1000) * VLOOKUP($A13,'volatile solids and nex'!$B$4:$W$53,16,FALSE)</f>
        <v>65992000</v>
      </c>
      <c r="L13" s="38">
        <f>(VLOOKUP($A13,'Beef Animal Numbers'!$B$2:$E$52,4,FALSE) * 1000) * VLOOKUP($A13,'volatile solids and nex'!$B$4:$W$53,20,FALSE)</f>
        <v>240000</v>
      </c>
      <c r="M13" s="38">
        <f>(VLOOKUP($A13,'Beef Animal Numbers'!$B$2:$I$52,5,FALSE) * 1000) * VLOOKUP($A13,'volatile solids and nex'!$B$4:$W$53,17,FALSE)</f>
        <v>1581000</v>
      </c>
      <c r="N13" s="38">
        <f>(VLOOKUP($A13,'Beef Animal Numbers'!$B$2:$I$52,6,FALSE) * 1000) * VLOOKUP($A13,'volatile solids and nex'!$B$4:$W$53,19,FALSE)</f>
        <v>4234000</v>
      </c>
      <c r="O13" s="38">
        <f>(VLOOKUP($A13,'Beef Animal Numbers'!$B$2:$I$52,7,FALSE) * 1000) * VLOOKUP($A13,'volatile solids and nex'!$B$4:$W$53,18,FALSE)</f>
        <v>451000</v>
      </c>
      <c r="P13" s="103">
        <f>(VLOOKUP($A13,'Beef Animal Numbers'!$B$2:$I$52,8,FALSE) * 1000) * VLOOKUP($A13,'volatile solids and nex'!$B$4:$W$53,19,FALSE)</f>
        <v>696000</v>
      </c>
      <c r="Q13" s="33">
        <v>0.33</v>
      </c>
      <c r="R13" s="33">
        <v>0.17</v>
      </c>
      <c r="S13" s="104">
        <v>0.47</v>
      </c>
      <c r="T13" s="33">
        <f>VLOOKUP(A13,'avg ann temp, manure EFs'!$B$3:$J$52,6,FALSE)</f>
        <v>1.5</v>
      </c>
      <c r="U13" s="33">
        <v>100</v>
      </c>
      <c r="V13" s="34">
        <v>100</v>
      </c>
      <c r="W13" s="34">
        <f t="shared" si="13"/>
        <v>1836.8429925999997</v>
      </c>
      <c r="X13" s="34">
        <f t="shared" si="0"/>
        <v>795180.00017599994</v>
      </c>
      <c r="Y13" s="34">
        <f t="shared" si="1"/>
        <v>8795.1995999999999</v>
      </c>
      <c r="Z13" s="34">
        <f t="shared" si="2"/>
        <v>18151.565345999999</v>
      </c>
      <c r="AA13" s="34">
        <f t="shared" si="3"/>
        <v>26603.994586000001</v>
      </c>
      <c r="AB13" s="34">
        <f t="shared" si="4"/>
        <v>5661.223414</v>
      </c>
      <c r="AC13" s="34">
        <f t="shared" si="5"/>
        <v>4373.259384</v>
      </c>
      <c r="AD13" s="105">
        <f t="shared" si="6"/>
        <v>2.4626558880000004E-4</v>
      </c>
      <c r="AE13" s="105">
        <f t="shared" si="15"/>
        <v>2.3850592805160796E-2</v>
      </c>
      <c r="AF13" s="105">
        <f t="shared" si="14"/>
        <v>0.15232322089285716</v>
      </c>
      <c r="AG13" s="106">
        <f t="shared" si="7"/>
        <v>9.9942857142857147E-4</v>
      </c>
      <c r="AH13" s="107">
        <f t="shared" si="8"/>
        <v>4.5696966267857143E-3</v>
      </c>
      <c r="AI13" s="107">
        <f t="shared" si="9"/>
        <v>2.4486000000000001E-4</v>
      </c>
      <c r="AJ13" s="105">
        <f t="shared" si="10"/>
        <v>1.2442885714285714E-3</v>
      </c>
      <c r="AK13" s="105">
        <f t="shared" si="11"/>
        <v>0.15689291751964288</v>
      </c>
      <c r="AL13" s="108">
        <f t="shared" si="12"/>
        <v>0.18223406448503227</v>
      </c>
      <c r="AM13" s="45"/>
      <c r="AN13" s="45"/>
      <c r="AO13" s="45"/>
    </row>
    <row r="14" spans="1:41" ht="15.75" customHeight="1">
      <c r="A14" s="110" t="s">
        <v>47</v>
      </c>
      <c r="B14" s="45" t="s">
        <v>104</v>
      </c>
      <c r="C14" s="102">
        <f>(VLOOKUP($A14,'Beef Animal Numbers'!$B$2:$E$52,2,FALSE) * 1000) * VLOOKUP($A14,'volatile solids and nex'!$B$4:$V$53,13,FALSE)</f>
        <v>1994300</v>
      </c>
      <c r="D14" s="38">
        <f>(VLOOKUP($A14,'Beef Animal Numbers'!$B$2:$E$52,3,FALSE) * 1000) * VLOOKUP($A14,'volatile solids and nex'!$B$4:$V$53,8,FALSE)</f>
        <v>863097000</v>
      </c>
      <c r="E14" s="38">
        <f>(VLOOKUP($A14,'Beef Animal Numbers'!$B$2:$E$52,4,FALSE) * 1000) * VLOOKUP($A14,'volatile solids and nex'!$B$4:$V$53,12,FALSE)</f>
        <v>3355000</v>
      </c>
      <c r="F14" s="38">
        <f>(VLOOKUP($A14,'Beef Animal Numbers'!$B$2:$I$52,5,FALSE) * 1000) * VLOOKUP($A14,'volatile solids and nex'!$B$4:$V$53,9,FALSE)</f>
        <v>23100000</v>
      </c>
      <c r="G14" s="38">
        <f>(VLOOKUP($A14,'Beef Animal Numbers'!$B$2:$I$52,6,FALSE) * 1000) * VLOOKUP($A14,'volatile solids and nex'!$B$4:$V$53,11,FALSE)</f>
        <v>34450000</v>
      </c>
      <c r="H14" s="38">
        <f>(VLOOKUP($A14,'Beef Animal Numbers'!$B$2:$I$52,7,FALSE) * 1000) * VLOOKUP($A14,'volatile solids and nex'!$B$4:$V$53,10,FALSE)</f>
        <v>19460000</v>
      </c>
      <c r="I14" s="103">
        <f>(VLOOKUP($A14,'Beef Animal Numbers'!$B$2:$I$52,8,FALSE) * 1000) * VLOOKUP($A14,'volatile solids and nex'!$B$4:$V$53,11,FALSE)</f>
        <v>9646000</v>
      </c>
      <c r="J14" s="102">
        <f>(VLOOKUP($A14,'Beef Animal Numbers'!$B$2:$E$52,2,FALSE) * 1000) * VLOOKUP($A14,'volatile solids and nex'!$B$4:$W$53,22,FALSE)</f>
        <v>116550</v>
      </c>
      <c r="K14" s="38">
        <f>(VLOOKUP($A14,'Beef Animal Numbers'!$B$2:$E$52,3,FALSE) * 1000) * VLOOKUP($A14,'volatile solids and nex'!$B$4:$W$53,16,FALSE)</f>
        <v>37887000</v>
      </c>
      <c r="L14" s="38">
        <f>(VLOOKUP($A14,'Beef Animal Numbers'!$B$2:$E$52,4,FALSE) * 1000) * VLOOKUP($A14,'volatile solids and nex'!$B$4:$W$53,20,FALSE)</f>
        <v>300000</v>
      </c>
      <c r="M14" s="38">
        <f>(VLOOKUP($A14,'Beef Animal Numbers'!$B$2:$I$52,5,FALSE) * 1000) * VLOOKUP($A14,'volatile solids and nex'!$B$4:$W$53,17,FALSE)</f>
        <v>1050000</v>
      </c>
      <c r="N14" s="38">
        <f>(VLOOKUP($A14,'Beef Animal Numbers'!$B$2:$I$52,6,FALSE) * 1000) * VLOOKUP($A14,'volatile solids and nex'!$B$4:$W$53,19,FALSE)</f>
        <v>2900000</v>
      </c>
      <c r="O14" s="38">
        <f>(VLOOKUP($A14,'Beef Animal Numbers'!$B$2:$I$52,7,FALSE) * 1000) * VLOOKUP($A14,'volatile solids and nex'!$B$4:$W$53,18,FALSE)</f>
        <v>820000</v>
      </c>
      <c r="P14" s="103">
        <f>(VLOOKUP($A14,'Beef Animal Numbers'!$B$2:$I$52,8,FALSE) * 1000) * VLOOKUP($A14,'volatile solids and nex'!$B$4:$W$53,19,FALSE)</f>
        <v>812000</v>
      </c>
      <c r="Q14" s="33">
        <v>0.33</v>
      </c>
      <c r="R14" s="33">
        <v>0.17</v>
      </c>
      <c r="S14" s="104">
        <v>0.47</v>
      </c>
      <c r="T14" s="33">
        <f>VLOOKUP(A14,'avg ann temp, manure EFs'!$B$3:$J$52,6,FALSE)</f>
        <v>1.5</v>
      </c>
      <c r="U14" s="33">
        <v>100</v>
      </c>
      <c r="V14" s="34">
        <v>100</v>
      </c>
      <c r="W14" s="34">
        <f t="shared" si="13"/>
        <v>1054.8610533999999</v>
      </c>
      <c r="X14" s="34">
        <f t="shared" si="0"/>
        <v>456524.80098599999</v>
      </c>
      <c r="Y14" s="34">
        <f t="shared" si="1"/>
        <v>10993.9995</v>
      </c>
      <c r="Z14" s="34">
        <f t="shared" si="2"/>
        <v>12218.467799999999</v>
      </c>
      <c r="AA14" s="34">
        <f t="shared" si="3"/>
        <v>18221.914099999998</v>
      </c>
      <c r="AB14" s="34">
        <f t="shared" si="4"/>
        <v>10293.13348</v>
      </c>
      <c r="AC14" s="34">
        <f t="shared" si="5"/>
        <v>5102.1359480000001</v>
      </c>
      <c r="AD14" s="105">
        <f t="shared" si="6"/>
        <v>3.0783198599999996E-4</v>
      </c>
      <c r="AE14" s="105">
        <f t="shared" si="15"/>
        <v>1.4095628774287199E-2</v>
      </c>
      <c r="AF14" s="105">
        <f t="shared" si="14"/>
        <v>9.0751341607142849E-2</v>
      </c>
      <c r="AG14" s="106">
        <f t="shared" si="7"/>
        <v>1.2492857142857143E-3</v>
      </c>
      <c r="AH14" s="107">
        <f t="shared" si="8"/>
        <v>2.7225402482142858E-3</v>
      </c>
      <c r="AI14" s="107">
        <f t="shared" si="9"/>
        <v>3.06075E-4</v>
      </c>
      <c r="AJ14" s="105">
        <f t="shared" si="10"/>
        <v>1.5553607142857143E-3</v>
      </c>
      <c r="AK14" s="105">
        <f t="shared" si="11"/>
        <v>9.3473881855357141E-2</v>
      </c>
      <c r="AL14" s="108">
        <f t="shared" si="12"/>
        <v>0.10943270332993006</v>
      </c>
      <c r="AM14" s="45"/>
      <c r="AN14" s="45"/>
      <c r="AO14" s="45"/>
    </row>
    <row r="15" spans="1:41" ht="15.75" customHeight="1">
      <c r="A15" s="110" t="s">
        <v>48</v>
      </c>
      <c r="B15" s="45" t="s">
        <v>104</v>
      </c>
      <c r="C15" s="102">
        <f>(VLOOKUP($A15,'Beef Animal Numbers'!$B$2:$E$52,2,FALSE) * 1000) * VLOOKUP($A15,'volatile solids and nex'!$B$4:$V$53,13,FALSE)</f>
        <v>3480400</v>
      </c>
      <c r="D15" s="38">
        <f>(VLOOKUP($A15,'Beef Animal Numbers'!$B$2:$E$52,3,FALSE) * 1000) * VLOOKUP($A15,'volatile solids and nex'!$B$4:$V$53,8,FALSE)</f>
        <v>1436235000</v>
      </c>
      <c r="E15" s="38">
        <f>(VLOOKUP($A15,'Beef Animal Numbers'!$B$2:$E$52,4,FALSE) * 1000) * VLOOKUP($A15,'volatile solids and nex'!$B$4:$V$53,12,FALSE)</f>
        <v>890417000</v>
      </c>
      <c r="F15" s="38">
        <f>(VLOOKUP($A15,'Beef Animal Numbers'!$B$2:$I$52,5,FALSE) * 1000) * VLOOKUP($A15,'volatile solids and nex'!$B$4:$V$53,9,FALSE)</f>
        <v>33694000</v>
      </c>
      <c r="G15" s="38">
        <f>(VLOOKUP($A15,'Beef Animal Numbers'!$B$2:$I$52,6,FALSE) * 1000) * VLOOKUP($A15,'volatile solids and nex'!$B$4:$V$53,11,FALSE)</f>
        <v>55809000</v>
      </c>
      <c r="H15" s="38">
        <f>(VLOOKUP($A15,'Beef Animal Numbers'!$B$2:$I$52,7,FALSE) * 1000) * VLOOKUP($A15,'volatile solids and nex'!$B$4:$V$53,10,FALSE)</f>
        <v>552822000</v>
      </c>
      <c r="I15" s="103">
        <f>(VLOOKUP($A15,'Beef Animal Numbers'!$B$2:$I$52,8,FALSE) * 1000) * VLOOKUP($A15,'volatile solids and nex'!$B$4:$V$53,11,FALSE)</f>
        <v>192920000</v>
      </c>
      <c r="J15" s="102">
        <f>(VLOOKUP($A15,'Beef Animal Numbers'!$B$2:$E$52,2,FALSE) * 1000) * VLOOKUP($A15,'volatile solids and nex'!$B$4:$W$53,22,FALSE)</f>
        <v>203400</v>
      </c>
      <c r="K15" s="38">
        <f>(VLOOKUP($A15,'Beef Animal Numbers'!$B$2:$E$52,3,FALSE) * 1000) * VLOOKUP($A15,'volatile solids and nex'!$B$4:$W$53,16,FALSE)</f>
        <v>67875000</v>
      </c>
      <c r="L15" s="38">
        <f>(VLOOKUP($A15,'Beef Animal Numbers'!$B$2:$E$52,4,FALSE) * 1000) * VLOOKUP($A15,'volatile solids and nex'!$B$4:$W$53,20,FALSE)</f>
        <v>79620000</v>
      </c>
      <c r="M15" s="38">
        <f>(VLOOKUP($A15,'Beef Animal Numbers'!$B$2:$I$52,5,FALSE) * 1000) * VLOOKUP($A15,'volatile solids and nex'!$B$4:$W$53,17,FALSE)</f>
        <v>1632000</v>
      </c>
      <c r="N15" s="38">
        <f>(VLOOKUP($A15,'Beef Animal Numbers'!$B$2:$I$52,6,FALSE) * 1000) * VLOOKUP($A15,'volatile solids and nex'!$B$4:$W$53,19,FALSE)</f>
        <v>4779000</v>
      </c>
      <c r="O15" s="38">
        <f>(VLOOKUP($A15,'Beef Animal Numbers'!$B$2:$I$52,7,FALSE) * 1000) * VLOOKUP($A15,'volatile solids and nex'!$B$4:$W$53,18,FALSE)</f>
        <v>25671000</v>
      </c>
      <c r="P15" s="103">
        <f>(VLOOKUP($A15,'Beef Animal Numbers'!$B$2:$I$52,8,FALSE) * 1000) * VLOOKUP($A15,'volatile solids and nex'!$B$4:$W$53,19,FALSE)</f>
        <v>16520000</v>
      </c>
      <c r="Q15" s="33">
        <v>0.33</v>
      </c>
      <c r="R15" s="33">
        <v>0.17</v>
      </c>
      <c r="S15" s="104">
        <v>0.47</v>
      </c>
      <c r="T15" s="33">
        <f>VLOOKUP(A15,'avg ann temp, manure EFs'!$B$3:$J$52,6,FALSE)</f>
        <v>1</v>
      </c>
      <c r="U15" s="33">
        <v>100</v>
      </c>
      <c r="V15" s="34">
        <v>100</v>
      </c>
      <c r="W15" s="34">
        <f t="shared" si="13"/>
        <v>1840.9158152</v>
      </c>
      <c r="X15" s="34">
        <f t="shared" si="0"/>
        <v>759679.26842999994</v>
      </c>
      <c r="Y15" s="34">
        <f t="shared" si="1"/>
        <v>1945204.9782000002</v>
      </c>
      <c r="Z15" s="34">
        <f t="shared" si="2"/>
        <v>17822.036971999998</v>
      </c>
      <c r="AA15" s="34">
        <f t="shared" si="3"/>
        <v>29519.500841999998</v>
      </c>
      <c r="AB15" s="34">
        <f t="shared" si="4"/>
        <v>292408.56303599995</v>
      </c>
      <c r="AC15" s="34">
        <f t="shared" si="5"/>
        <v>102042.71895999998</v>
      </c>
      <c r="AD15" s="105">
        <f t="shared" si="6"/>
        <v>5.4465739389600004E-2</v>
      </c>
      <c r="AE15" s="105">
        <f t="shared" si="15"/>
        <v>3.369276411354559E-2</v>
      </c>
      <c r="AF15" s="105">
        <f t="shared" si="14"/>
        <v>0.2429452614285714</v>
      </c>
      <c r="AG15" s="106">
        <f t="shared" si="7"/>
        <v>0.33156042857142853</v>
      </c>
      <c r="AH15" s="107">
        <f t="shared" si="8"/>
        <v>7.2883578428571414E-3</v>
      </c>
      <c r="AI15" s="107">
        <f t="shared" si="9"/>
        <v>8.1232304999999991E-2</v>
      </c>
      <c r="AJ15" s="105">
        <f t="shared" si="10"/>
        <v>0.41279273357142854</v>
      </c>
      <c r="AK15" s="105">
        <f t="shared" si="11"/>
        <v>0.25023361927142856</v>
      </c>
      <c r="AL15" s="108">
        <f t="shared" si="12"/>
        <v>0.75118485634600263</v>
      </c>
      <c r="AM15" s="45"/>
      <c r="AN15" s="45"/>
      <c r="AO15" s="45"/>
    </row>
    <row r="16" spans="1:41" ht="15.75" customHeight="1">
      <c r="A16" s="110" t="s">
        <v>49</v>
      </c>
      <c r="B16" s="45" t="s">
        <v>104</v>
      </c>
      <c r="C16" s="102">
        <f>(VLOOKUP($A16,'Beef Animal Numbers'!$B$2:$E$52,2,FALSE) * 1000) * VLOOKUP($A16,'volatile solids and nex'!$B$4:$V$53,13,FALSE)</f>
        <v>1878800</v>
      </c>
      <c r="D16" s="38">
        <f>(VLOOKUP($A16,'Beef Animal Numbers'!$B$2:$E$52,3,FALSE) * 1000) * VLOOKUP($A16,'volatile solids and nex'!$B$4:$V$53,8,FALSE)</f>
        <v>926100000</v>
      </c>
      <c r="E16" s="38">
        <f>(VLOOKUP($A16,'Beef Animal Numbers'!$B$2:$E$52,4,FALSE) * 1000) * VLOOKUP($A16,'volatile solids and nex'!$B$4:$V$53,12,FALSE)</f>
        <v>210694000</v>
      </c>
      <c r="F16" s="38">
        <f>(VLOOKUP($A16,'Beef Animal Numbers'!$B$2:$I$52,5,FALSE) * 1000) * VLOOKUP($A16,'volatile solids and nex'!$B$4:$V$53,9,FALSE)</f>
        <v>38006000</v>
      </c>
      <c r="G16" s="38">
        <f>(VLOOKUP($A16,'Beef Animal Numbers'!$B$2:$I$52,6,FALSE) * 1000) * VLOOKUP($A16,'volatile solids and nex'!$B$4:$V$53,11,FALSE)</f>
        <v>50297000</v>
      </c>
      <c r="H16" s="38">
        <f>(VLOOKUP($A16,'Beef Animal Numbers'!$B$2:$I$52,7,FALSE) * 1000) * VLOOKUP($A16,'volatile solids and nex'!$B$4:$V$53,10,FALSE)</f>
        <v>154422000</v>
      </c>
      <c r="I16" s="103">
        <f>(VLOOKUP($A16,'Beef Animal Numbers'!$B$2:$I$52,8,FALSE) * 1000) * VLOOKUP($A16,'volatile solids and nex'!$B$4:$V$53,11,FALSE)</f>
        <v>64077000</v>
      </c>
      <c r="J16" s="102">
        <f>(VLOOKUP($A16,'Beef Animal Numbers'!$B$2:$E$52,2,FALSE) * 1000) * VLOOKUP($A16,'volatile solids and nex'!$B$4:$W$53,22,FALSE)</f>
        <v>109800</v>
      </c>
      <c r="K16" s="38">
        <f>(VLOOKUP($A16,'Beef Animal Numbers'!$B$2:$E$52,3,FALSE) * 1000) * VLOOKUP($A16,'volatile solids and nex'!$B$4:$W$53,16,FALSE)</f>
        <v>28910000</v>
      </c>
      <c r="L16" s="38">
        <f>(VLOOKUP($A16,'Beef Animal Numbers'!$B$2:$E$52,4,FALSE) * 1000) * VLOOKUP($A16,'volatile solids and nex'!$B$4:$W$53,20,FALSE)</f>
        <v>18840000</v>
      </c>
      <c r="M16" s="38">
        <f>(VLOOKUP($A16,'Beef Animal Numbers'!$B$2:$I$52,5,FALSE) * 1000) * VLOOKUP($A16,'volatile solids and nex'!$B$4:$W$53,17,FALSE)</f>
        <v>1209000</v>
      </c>
      <c r="N16" s="38">
        <f>(VLOOKUP($A16,'Beef Animal Numbers'!$B$2:$I$52,6,FALSE) * 1000) * VLOOKUP($A16,'volatile solids and nex'!$B$4:$W$53,19,FALSE)</f>
        <v>4307000</v>
      </c>
      <c r="O16" s="38">
        <f>(VLOOKUP($A16,'Beef Animal Numbers'!$B$2:$I$52,7,FALSE) * 1000) * VLOOKUP($A16,'volatile solids and nex'!$B$4:$W$53,18,FALSE)</f>
        <v>4554000</v>
      </c>
      <c r="P16" s="103">
        <f>(VLOOKUP($A16,'Beef Animal Numbers'!$B$2:$I$52,8,FALSE) * 1000) * VLOOKUP($A16,'volatile solids and nex'!$B$4:$W$53,19,FALSE)</f>
        <v>5487000</v>
      </c>
      <c r="Q16" s="33">
        <v>0.33</v>
      </c>
      <c r="R16" s="33">
        <v>0.17</v>
      </c>
      <c r="S16" s="104">
        <v>0.47</v>
      </c>
      <c r="T16" s="33">
        <f>VLOOKUP(A16,'avg ann temp, manure EFs'!$B$3:$J$52,6,FALSE)</f>
        <v>1</v>
      </c>
      <c r="U16" s="33">
        <v>100</v>
      </c>
      <c r="V16" s="34">
        <v>100</v>
      </c>
      <c r="W16" s="34">
        <f t="shared" si="13"/>
        <v>993.76871440000002</v>
      </c>
      <c r="X16" s="34">
        <f t="shared" si="0"/>
        <v>489849.48180000001</v>
      </c>
      <c r="Y16" s="34">
        <f t="shared" si="1"/>
        <v>460282.11240000004</v>
      </c>
      <c r="Z16" s="34">
        <f t="shared" si="2"/>
        <v>20102.817627999997</v>
      </c>
      <c r="AA16" s="34">
        <f t="shared" si="3"/>
        <v>26603.994586000001</v>
      </c>
      <c r="AB16" s="34">
        <f t="shared" si="4"/>
        <v>81679.663836000007</v>
      </c>
      <c r="AC16" s="34">
        <f t="shared" si="5"/>
        <v>33892.760225999999</v>
      </c>
      <c r="AD16" s="105">
        <f t="shared" si="6"/>
        <v>1.28878991472E-2</v>
      </c>
      <c r="AE16" s="105">
        <f t="shared" si="15"/>
        <v>1.8287429630131198E-2</v>
      </c>
      <c r="AF16" s="105">
        <f t="shared" si="14"/>
        <v>9.2815265714285708E-2</v>
      </c>
      <c r="AG16" s="106">
        <f t="shared" si="7"/>
        <v>7.8455142857142834E-2</v>
      </c>
      <c r="AH16" s="107">
        <f t="shared" si="8"/>
        <v>2.784457971428571E-3</v>
      </c>
      <c r="AI16" s="107">
        <f t="shared" si="9"/>
        <v>1.9221509999999997E-2</v>
      </c>
      <c r="AJ16" s="105">
        <f t="shared" si="10"/>
        <v>9.7676652857142832E-2</v>
      </c>
      <c r="AK16" s="105">
        <f t="shared" si="11"/>
        <v>9.5599723685714275E-2</v>
      </c>
      <c r="AL16" s="108">
        <f t="shared" si="12"/>
        <v>0.22445170532018832</v>
      </c>
      <c r="AM16" s="45"/>
      <c r="AN16" s="45"/>
      <c r="AO16" s="45"/>
    </row>
    <row r="17" spans="1:41" ht="15.75" customHeight="1">
      <c r="A17" s="110" t="s">
        <v>50</v>
      </c>
      <c r="B17" s="45" t="s">
        <v>104</v>
      </c>
      <c r="C17" s="102">
        <f>(VLOOKUP($A17,'Beef Animal Numbers'!$B$2:$E$52,2,FALSE) * 1000) * VLOOKUP($A17,'volatile solids and nex'!$B$4:$V$53,13,FALSE)</f>
        <v>1455300</v>
      </c>
      <c r="D17" s="38">
        <f>(VLOOKUP($A17,'Beef Animal Numbers'!$B$2:$E$52,3,FALSE) * 1000) * VLOOKUP($A17,'volatile solids and nex'!$B$4:$V$53,8,FALSE)</f>
        <v>599886000</v>
      </c>
      <c r="E17" s="38">
        <f>(VLOOKUP($A17,'Beef Animal Numbers'!$B$2:$E$52,4,FALSE) * 1000) * VLOOKUP($A17,'volatile solids and nex'!$B$4:$V$53,12,FALSE)</f>
        <v>166408000</v>
      </c>
      <c r="F17" s="38">
        <f>(VLOOKUP($A17,'Beef Animal Numbers'!$B$2:$I$52,5,FALSE) * 1000) * VLOOKUP($A17,'volatile solids and nex'!$B$4:$V$53,9,FALSE)</f>
        <v>14224000</v>
      </c>
      <c r="G17" s="38">
        <f>(VLOOKUP($A17,'Beef Animal Numbers'!$B$2:$I$52,6,FALSE) * 1000) * VLOOKUP($A17,'volatile solids and nex'!$B$4:$V$53,11,FALSE)</f>
        <v>23426000</v>
      </c>
      <c r="H17" s="38">
        <f>(VLOOKUP($A17,'Beef Animal Numbers'!$B$2:$I$52,7,FALSE) * 1000) * VLOOKUP($A17,'volatile solids and nex'!$B$4:$V$53,10,FALSE)</f>
        <v>101860000</v>
      </c>
      <c r="I17" s="103">
        <f>(VLOOKUP($A17,'Beef Animal Numbers'!$B$2:$I$52,8,FALSE) * 1000) * VLOOKUP($A17,'volatile solids and nex'!$B$4:$V$53,11,FALSE)</f>
        <v>28938000</v>
      </c>
      <c r="J17" s="102">
        <f>(VLOOKUP($A17,'Beef Animal Numbers'!$B$2:$E$52,2,FALSE) * 1000) * VLOOKUP($A17,'volatile solids and nex'!$B$4:$W$53,22,FALSE)</f>
        <v>85050</v>
      </c>
      <c r="K17" s="38">
        <f>(VLOOKUP($A17,'Beef Animal Numbers'!$B$2:$E$52,3,FALSE) * 1000) * VLOOKUP($A17,'volatile solids and nex'!$B$4:$W$53,16,FALSE)</f>
        <v>28350000</v>
      </c>
      <c r="L17" s="38">
        <f>(VLOOKUP($A17,'Beef Animal Numbers'!$B$2:$E$52,4,FALSE) * 1000) * VLOOKUP($A17,'volatile solids and nex'!$B$4:$W$53,20,FALSE)</f>
        <v>14880000</v>
      </c>
      <c r="M17" s="38">
        <f>(VLOOKUP($A17,'Beef Animal Numbers'!$B$2:$I$52,5,FALSE) * 1000) * VLOOKUP($A17,'volatile solids and nex'!$B$4:$W$53,17,FALSE)</f>
        <v>700000</v>
      </c>
      <c r="N17" s="38">
        <f>(VLOOKUP($A17,'Beef Animal Numbers'!$B$2:$I$52,6,FALSE) * 1000) * VLOOKUP($A17,'volatile solids and nex'!$B$4:$W$53,19,FALSE)</f>
        <v>2006000</v>
      </c>
      <c r="O17" s="38">
        <f>(VLOOKUP($A17,'Beef Animal Numbers'!$B$2:$I$52,7,FALSE) * 1000) * VLOOKUP($A17,'volatile solids and nex'!$B$4:$W$53,18,FALSE)</f>
        <v>4730000</v>
      </c>
      <c r="P17" s="103">
        <f>(VLOOKUP($A17,'Beef Animal Numbers'!$B$2:$I$52,8,FALSE) * 1000) * VLOOKUP($A17,'volatile solids and nex'!$B$4:$W$53,19,FALSE)</f>
        <v>2478000</v>
      </c>
      <c r="Q17" s="33">
        <v>0.33</v>
      </c>
      <c r="R17" s="33">
        <v>0.17</v>
      </c>
      <c r="S17" s="104">
        <v>0.47</v>
      </c>
      <c r="T17" s="33">
        <f>VLOOKUP(A17,'avg ann temp, manure EFs'!$B$3:$J$52,6,FALSE)</f>
        <v>1</v>
      </c>
      <c r="U17" s="33">
        <v>100</v>
      </c>
      <c r="V17" s="34">
        <v>100</v>
      </c>
      <c r="W17" s="34">
        <f t="shared" si="13"/>
        <v>769.76347140000007</v>
      </c>
      <c r="X17" s="34">
        <f t="shared" si="0"/>
        <v>317302.50106799992</v>
      </c>
      <c r="Y17" s="34">
        <f t="shared" si="1"/>
        <v>363534.91680000001</v>
      </c>
      <c r="Z17" s="34">
        <f t="shared" si="2"/>
        <v>7523.6141120000002</v>
      </c>
      <c r="AA17" s="34">
        <f t="shared" si="3"/>
        <v>12390.901587999999</v>
      </c>
      <c r="AB17" s="34">
        <f t="shared" si="4"/>
        <v>53877.624679999994</v>
      </c>
      <c r="AC17" s="34">
        <f t="shared" si="5"/>
        <v>15306.407843999998</v>
      </c>
      <c r="AD17" s="105">
        <f t="shared" si="6"/>
        <v>1.01789776704E-2</v>
      </c>
      <c r="AE17" s="105">
        <f t="shared" si="15"/>
        <v>1.1400782757375197E-2</v>
      </c>
      <c r="AF17" s="105">
        <f t="shared" si="14"/>
        <v>7.9848200535714273E-2</v>
      </c>
      <c r="AG17" s="106">
        <f t="shared" si="7"/>
        <v>6.1964571428571424E-2</v>
      </c>
      <c r="AH17" s="107">
        <f t="shared" si="8"/>
        <v>2.3954460160714288E-3</v>
      </c>
      <c r="AI17" s="107">
        <f t="shared" si="9"/>
        <v>1.5181320000000002E-2</v>
      </c>
      <c r="AJ17" s="105">
        <f t="shared" si="10"/>
        <v>7.7145891428571423E-2</v>
      </c>
      <c r="AK17" s="105">
        <f t="shared" si="11"/>
        <v>8.2243646551785704E-2</v>
      </c>
      <c r="AL17" s="108">
        <f t="shared" si="12"/>
        <v>0.18096929840813231</v>
      </c>
      <c r="AM17" s="45"/>
      <c r="AN17" s="45"/>
      <c r="AO17" s="45"/>
    </row>
    <row r="18" spans="1:41" ht="15.75" customHeight="1">
      <c r="A18" s="110" t="s">
        <v>51</v>
      </c>
      <c r="B18" s="45" t="s">
        <v>104</v>
      </c>
      <c r="C18" s="102">
        <f>(VLOOKUP($A18,'Beef Animal Numbers'!$B$2:$E$52,2,FALSE) * 1000) * VLOOKUP($A18,'volatile solids and nex'!$B$4:$V$53,13,FALSE)</f>
        <v>746900</v>
      </c>
      <c r="D18" s="38">
        <f>(VLOOKUP($A18,'Beef Animal Numbers'!$B$2:$E$52,3,FALSE) * 1000) * VLOOKUP($A18,'volatile solids and nex'!$B$4:$V$53,8,FALSE)</f>
        <v>307878000</v>
      </c>
      <c r="E18" s="38">
        <f>(VLOOKUP($A18,'Beef Animal Numbers'!$B$2:$E$52,4,FALSE) * 1000) * VLOOKUP($A18,'volatile solids and nex'!$B$4:$V$53,12,FALSE)</f>
        <v>71126000</v>
      </c>
      <c r="F18" s="38">
        <f>(VLOOKUP($A18,'Beef Animal Numbers'!$B$2:$I$52,5,FALSE) * 1000) * VLOOKUP($A18,'volatile solids and nex'!$B$4:$V$53,9,FALSE)</f>
        <v>10230000</v>
      </c>
      <c r="G18" s="38">
        <f>(VLOOKUP($A18,'Beef Animal Numbers'!$B$2:$I$52,6,FALSE) * 1000) * VLOOKUP($A18,'volatile solids and nex'!$B$4:$V$53,11,FALSE)</f>
        <v>15847000</v>
      </c>
      <c r="H18" s="38">
        <f>(VLOOKUP($A18,'Beef Animal Numbers'!$B$2:$I$52,7,FALSE) * 1000) * VLOOKUP($A18,'volatile solids and nex'!$B$4:$V$53,10,FALSE)</f>
        <v>46300000</v>
      </c>
      <c r="I18" s="103">
        <f>(VLOOKUP($A18,'Beef Animal Numbers'!$B$2:$I$52,8,FALSE) * 1000) * VLOOKUP($A18,'volatile solids and nex'!$B$4:$V$53,11,FALSE)</f>
        <v>14469000</v>
      </c>
      <c r="J18" s="102">
        <f>(VLOOKUP($A18,'Beef Animal Numbers'!$B$2:$E$52,2,FALSE) * 1000) * VLOOKUP($A18,'volatile solids and nex'!$B$4:$W$53,22,FALSE)</f>
        <v>43650</v>
      </c>
      <c r="K18" s="38">
        <f>(VLOOKUP($A18,'Beef Animal Numbers'!$B$2:$E$52,3,FALSE) * 1000) * VLOOKUP($A18,'volatile solids and nex'!$B$4:$W$53,16,FALSE)</f>
        <v>14550000</v>
      </c>
      <c r="L18" s="38">
        <f>(VLOOKUP($A18,'Beef Animal Numbers'!$B$2:$E$52,4,FALSE) * 1000) * VLOOKUP($A18,'volatile solids and nex'!$B$4:$W$53,20,FALSE)</f>
        <v>6360000</v>
      </c>
      <c r="M18" s="38">
        <f>(VLOOKUP($A18,'Beef Animal Numbers'!$B$2:$I$52,5,FALSE) * 1000) * VLOOKUP($A18,'volatile solids and nex'!$B$4:$W$53,17,FALSE)</f>
        <v>500000</v>
      </c>
      <c r="N18" s="38">
        <f>(VLOOKUP($A18,'Beef Animal Numbers'!$B$2:$I$52,6,FALSE) * 1000) * VLOOKUP($A18,'volatile solids and nex'!$B$4:$W$53,19,FALSE)</f>
        <v>1357000</v>
      </c>
      <c r="O18" s="38">
        <f>(VLOOKUP($A18,'Beef Animal Numbers'!$B$2:$I$52,7,FALSE) * 1000) * VLOOKUP($A18,'volatile solids and nex'!$B$4:$W$53,18,FALSE)</f>
        <v>2150000</v>
      </c>
      <c r="P18" s="103">
        <f>(VLOOKUP($A18,'Beef Animal Numbers'!$B$2:$I$52,8,FALSE) * 1000) * VLOOKUP($A18,'volatile solids and nex'!$B$4:$W$53,19,FALSE)</f>
        <v>1239000</v>
      </c>
      <c r="Q18" s="33">
        <v>0.33</v>
      </c>
      <c r="R18" s="33">
        <v>0.17</v>
      </c>
      <c r="S18" s="104">
        <v>0.47</v>
      </c>
      <c r="T18" s="33">
        <f>VLOOKUP(A18,'avg ann temp, manure EFs'!$B$3:$J$52,6,FALSE)</f>
        <v>1</v>
      </c>
      <c r="U18" s="33">
        <v>100</v>
      </c>
      <c r="V18" s="34">
        <v>100</v>
      </c>
      <c r="W18" s="34">
        <f t="shared" si="13"/>
        <v>395.06379220000002</v>
      </c>
      <c r="X18" s="34">
        <f t="shared" si="0"/>
        <v>162848.37356400001</v>
      </c>
      <c r="Y18" s="34">
        <f t="shared" si="1"/>
        <v>155381.85960000003</v>
      </c>
      <c r="Z18" s="34">
        <f t="shared" si="2"/>
        <v>5411.0357400000003</v>
      </c>
      <c r="AA18" s="34">
        <f t="shared" si="3"/>
        <v>8382.0804859999989</v>
      </c>
      <c r="AB18" s="34">
        <f t="shared" si="4"/>
        <v>24489.829399999995</v>
      </c>
      <c r="AC18" s="34">
        <f t="shared" si="5"/>
        <v>7653.2039219999988</v>
      </c>
      <c r="AD18" s="105">
        <f t="shared" si="6"/>
        <v>4.3506920688000002E-3</v>
      </c>
      <c r="AE18" s="105">
        <f t="shared" si="15"/>
        <v>5.8570284333175991E-3</v>
      </c>
      <c r="AF18" s="105">
        <f t="shared" si="14"/>
        <v>4.1308985535714285E-2</v>
      </c>
      <c r="AG18" s="106">
        <f t="shared" si="7"/>
        <v>2.6484857142857147E-2</v>
      </c>
      <c r="AH18" s="107">
        <f t="shared" si="8"/>
        <v>1.2392695660714283E-3</v>
      </c>
      <c r="AI18" s="107">
        <f t="shared" si="9"/>
        <v>6.4887899999999995E-3</v>
      </c>
      <c r="AJ18" s="105">
        <f t="shared" si="10"/>
        <v>3.2973647142857145E-2</v>
      </c>
      <c r="AK18" s="105">
        <f t="shared" si="11"/>
        <v>4.2548255101785712E-2</v>
      </c>
      <c r="AL18" s="108">
        <f t="shared" si="12"/>
        <v>8.5729622746760464E-2</v>
      </c>
      <c r="AM18" s="45"/>
      <c r="AN18" s="45"/>
      <c r="AO18" s="45"/>
    </row>
    <row r="19" spans="1:41" ht="15.75" customHeight="1">
      <c r="A19" s="110" t="s">
        <v>52</v>
      </c>
      <c r="B19" s="45" t="s">
        <v>104</v>
      </c>
      <c r="C19" s="102">
        <f>(VLOOKUP($A19,'Beef Animal Numbers'!$B$2:$E$52,2,FALSE) * 1000) * VLOOKUP($A19,'volatile solids and nex'!$B$4:$V$53,13,FALSE)</f>
        <v>5544000</v>
      </c>
      <c r="D19" s="38">
        <f>(VLOOKUP($A19,'Beef Animal Numbers'!$B$2:$E$52,3,FALSE) * 1000) * VLOOKUP($A19,'volatile solids and nex'!$B$4:$V$53,8,FALSE)</f>
        <v>2290041000</v>
      </c>
      <c r="E19" s="38">
        <f>(VLOOKUP($A19,'Beef Animal Numbers'!$B$2:$E$52,4,FALSE) * 1000) * VLOOKUP($A19,'volatile solids and nex'!$B$4:$V$53,12,FALSE)</f>
        <v>1749297000</v>
      </c>
      <c r="F19" s="38">
        <f>(VLOOKUP($A19,'Beef Animal Numbers'!$B$2:$I$52,5,FALSE) * 1000) * VLOOKUP($A19,'volatile solids and nex'!$B$4:$V$53,9,FALSE)</f>
        <v>57997000</v>
      </c>
      <c r="G19" s="38">
        <f>(VLOOKUP($A19,'Beef Animal Numbers'!$B$2:$I$52,6,FALSE) * 1000) * VLOOKUP($A19,'volatile solids and nex'!$B$4:$V$53,11,FALSE)</f>
        <v>96460000</v>
      </c>
      <c r="H19" s="38">
        <f>(VLOOKUP($A19,'Beef Animal Numbers'!$B$2:$I$52,7,FALSE) * 1000) * VLOOKUP($A19,'volatile solids and nex'!$B$4:$V$53,10,FALSE)</f>
        <v>885256000</v>
      </c>
      <c r="I19" s="103">
        <f>(VLOOKUP($A19,'Beef Animal Numbers'!$B$2:$I$52,8,FALSE) * 1000) * VLOOKUP($A19,'volatile solids and nex'!$B$4:$V$53,11,FALSE)</f>
        <v>498147000</v>
      </c>
      <c r="J19" s="102">
        <f>(VLOOKUP($A19,'Beef Animal Numbers'!$B$2:$E$52,2,FALSE) * 1000) * VLOOKUP($A19,'volatile solids and nex'!$B$4:$W$53,22,FALSE)</f>
        <v>324000</v>
      </c>
      <c r="K19" s="38">
        <f>(VLOOKUP($A19,'Beef Animal Numbers'!$B$2:$E$52,3,FALSE) * 1000) * VLOOKUP($A19,'volatile solids and nex'!$B$4:$W$53,16,FALSE)</f>
        <v>108225000</v>
      </c>
      <c r="L19" s="38">
        <f>(VLOOKUP($A19,'Beef Animal Numbers'!$B$2:$E$52,4,FALSE) * 1000) * VLOOKUP($A19,'volatile solids and nex'!$B$4:$W$53,20,FALSE)</f>
        <v>156420000</v>
      </c>
      <c r="M19" s="38">
        <f>(VLOOKUP($A19,'Beef Animal Numbers'!$B$2:$I$52,5,FALSE) * 1000) * VLOOKUP($A19,'volatile solids and nex'!$B$4:$W$53,17,FALSE)</f>
        <v>2773000</v>
      </c>
      <c r="N19" s="38">
        <f>(VLOOKUP($A19,'Beef Animal Numbers'!$B$2:$I$52,6,FALSE) * 1000) * VLOOKUP($A19,'volatile solids and nex'!$B$4:$W$53,19,FALSE)</f>
        <v>8260000</v>
      </c>
      <c r="O19" s="38">
        <f>(VLOOKUP($A19,'Beef Animal Numbers'!$B$2:$I$52,7,FALSE) * 1000) * VLOOKUP($A19,'volatile solids and nex'!$B$4:$W$53,18,FALSE)</f>
        <v>41108000</v>
      </c>
      <c r="P19" s="103">
        <f>(VLOOKUP($A19,'Beef Animal Numbers'!$B$2:$I$52,8,FALSE) * 1000) * VLOOKUP($A19,'volatile solids and nex'!$B$4:$W$53,19,FALSE)</f>
        <v>42657000</v>
      </c>
      <c r="Q19" s="33">
        <v>0.33</v>
      </c>
      <c r="R19" s="33">
        <v>0.17</v>
      </c>
      <c r="S19" s="104">
        <v>0.47</v>
      </c>
      <c r="T19" s="33">
        <f>VLOOKUP(A19,'avg ann temp, manure EFs'!$B$3:$J$52,6,FALSE)</f>
        <v>1</v>
      </c>
      <c r="U19" s="33">
        <v>100</v>
      </c>
      <c r="V19" s="34">
        <v>100</v>
      </c>
      <c r="W19" s="34">
        <f t="shared" si="13"/>
        <v>2932.4322719999996</v>
      </c>
      <c r="X19" s="34">
        <f t="shared" si="0"/>
        <v>1211289.706458</v>
      </c>
      <c r="Y19" s="34">
        <f t="shared" si="1"/>
        <v>3821514.2261999999</v>
      </c>
      <c r="Z19" s="34">
        <f t="shared" si="2"/>
        <v>30676.817186</v>
      </c>
      <c r="AA19" s="34">
        <f t="shared" si="3"/>
        <v>51021.359479999992</v>
      </c>
      <c r="AB19" s="34">
        <f t="shared" si="4"/>
        <v>468245.53812799999</v>
      </c>
      <c r="AC19" s="34">
        <f t="shared" si="5"/>
        <v>263488.87788599997</v>
      </c>
      <c r="AD19" s="105">
        <f t="shared" si="6"/>
        <v>0.10700239833359999</v>
      </c>
      <c r="AE19" s="105">
        <f t="shared" si="15"/>
        <v>5.6774332479480001E-2</v>
      </c>
      <c r="AF19" s="105">
        <f t="shared" si="14"/>
        <v>0.42339750357142858</v>
      </c>
      <c r="AG19" s="106">
        <f t="shared" si="7"/>
        <v>0.65137757142857144</v>
      </c>
      <c r="AH19" s="107">
        <f t="shared" si="8"/>
        <v>1.2701925107142858E-2</v>
      </c>
      <c r="AI19" s="107">
        <f t="shared" si="9"/>
        <v>0.15958750499999999</v>
      </c>
      <c r="AJ19" s="105">
        <f t="shared" si="10"/>
        <v>0.81096507642857141</v>
      </c>
      <c r="AK19" s="105">
        <f t="shared" si="11"/>
        <v>0.43609942867857143</v>
      </c>
      <c r="AL19" s="108">
        <f t="shared" si="12"/>
        <v>1.4108412359202227</v>
      </c>
      <c r="AM19" s="45"/>
      <c r="AN19" s="45"/>
      <c r="AO19" s="45"/>
    </row>
    <row r="20" spans="1:41" ht="15.75" customHeight="1">
      <c r="A20" s="110" t="s">
        <v>53</v>
      </c>
      <c r="B20" s="45" t="s">
        <v>104</v>
      </c>
      <c r="C20" s="102">
        <f>(VLOOKUP($A20,'Beef Animal Numbers'!$B$2:$E$52,2,FALSE) * 1000) * VLOOKUP($A20,'volatile solids and nex'!$B$4:$V$53,13,FALSE)</f>
        <v>3919300</v>
      </c>
      <c r="D20" s="38">
        <f>(VLOOKUP($A20,'Beef Animal Numbers'!$B$2:$E$52,3,FALSE) * 1000) * VLOOKUP($A20,'volatile solids and nex'!$B$4:$V$53,8,FALSE)</f>
        <v>1697923000</v>
      </c>
      <c r="E20" s="38">
        <f>(VLOOKUP($A20,'Beef Animal Numbers'!$B$2:$E$52,4,FALSE) * 1000) * VLOOKUP($A20,'volatile solids and nex'!$B$4:$V$53,12,FALSE)</f>
        <v>11407000</v>
      </c>
      <c r="F20" s="38">
        <f>(VLOOKUP($A20,'Beef Animal Numbers'!$B$2:$I$52,5,FALSE) * 1000) * VLOOKUP($A20,'volatile solids and nex'!$B$4:$V$53,9,FALSE)</f>
        <v>31349000</v>
      </c>
      <c r="G20" s="38">
        <f>(VLOOKUP($A20,'Beef Animal Numbers'!$B$2:$I$52,6,FALSE) * 1000) * VLOOKUP($A20,'volatile solids and nex'!$B$4:$V$53,11,FALSE)</f>
        <v>48230000</v>
      </c>
      <c r="H20" s="38">
        <f>(VLOOKUP($A20,'Beef Animal Numbers'!$B$2:$I$52,7,FALSE) * 1000) * VLOOKUP($A20,'volatile solids and nex'!$B$4:$V$53,10,FALSE)</f>
        <v>96327000</v>
      </c>
      <c r="I20" s="103">
        <f>(VLOOKUP($A20,'Beef Animal Numbers'!$B$2:$I$52,8,FALSE) * 1000) * VLOOKUP($A20,'volatile solids and nex'!$B$4:$V$53,11,FALSE)</f>
        <v>35139000</v>
      </c>
      <c r="J20" s="102">
        <f>(VLOOKUP($A20,'Beef Animal Numbers'!$B$2:$E$52,2,FALSE) * 1000) * VLOOKUP($A20,'volatile solids and nex'!$B$4:$W$53,22,FALSE)</f>
        <v>229050</v>
      </c>
      <c r="K20" s="38">
        <f>(VLOOKUP($A20,'Beef Animal Numbers'!$B$2:$E$52,3,FALSE) * 1000) * VLOOKUP($A20,'volatile solids and nex'!$B$4:$W$53,16,FALSE)</f>
        <v>74533000</v>
      </c>
      <c r="L20" s="38">
        <f>(VLOOKUP($A20,'Beef Animal Numbers'!$B$2:$E$52,4,FALSE) * 1000) * VLOOKUP($A20,'volatile solids and nex'!$B$4:$W$53,20,FALSE)</f>
        <v>1020000</v>
      </c>
      <c r="M20" s="38">
        <f>(VLOOKUP($A20,'Beef Animal Numbers'!$B$2:$I$52,5,FALSE) * 1000) * VLOOKUP($A20,'volatile solids and nex'!$B$4:$W$53,17,FALSE)</f>
        <v>1421000</v>
      </c>
      <c r="N20" s="38">
        <f>(VLOOKUP($A20,'Beef Animal Numbers'!$B$2:$I$52,6,FALSE) * 1000) * VLOOKUP($A20,'volatile solids and nex'!$B$4:$W$53,19,FALSE)</f>
        <v>4130000</v>
      </c>
      <c r="O20" s="38">
        <f>(VLOOKUP($A20,'Beef Animal Numbers'!$B$2:$I$52,7,FALSE) * 1000) * VLOOKUP($A20,'volatile solids and nex'!$B$4:$W$53,18,FALSE)</f>
        <v>4059000</v>
      </c>
      <c r="P20" s="103">
        <f>(VLOOKUP($A20,'Beef Animal Numbers'!$B$2:$I$52,8,FALSE) * 1000) * VLOOKUP($A20,'volatile solids and nex'!$B$4:$W$53,19,FALSE)</f>
        <v>3009000</v>
      </c>
      <c r="Q20" s="33">
        <v>0.33</v>
      </c>
      <c r="R20" s="33">
        <v>0.17</v>
      </c>
      <c r="S20" s="104">
        <v>0.47</v>
      </c>
      <c r="T20" s="33">
        <f>VLOOKUP(A20,'avg ann temp, manure EFs'!$B$3:$J$52,6,FALSE)</f>
        <v>1</v>
      </c>
      <c r="U20" s="33">
        <v>100</v>
      </c>
      <c r="V20" s="34">
        <v>100</v>
      </c>
      <c r="W20" s="34">
        <f t="shared" si="13"/>
        <v>2073.0667033999998</v>
      </c>
      <c r="X20" s="34">
        <f t="shared" si="0"/>
        <v>898095.99577399995</v>
      </c>
      <c r="Y20" s="34">
        <f t="shared" si="1"/>
        <v>24919.732200000002</v>
      </c>
      <c r="Z20" s="34">
        <f t="shared" si="2"/>
        <v>16581.677361999999</v>
      </c>
      <c r="AA20" s="34">
        <f t="shared" si="3"/>
        <v>25510.679739999996</v>
      </c>
      <c r="AB20" s="34">
        <f t="shared" si="4"/>
        <v>50951.010725999993</v>
      </c>
      <c r="AC20" s="34">
        <f t="shared" si="5"/>
        <v>18586.352381999997</v>
      </c>
      <c r="AD20" s="105">
        <f t="shared" si="6"/>
        <v>6.9775250160000009E-4</v>
      </c>
      <c r="AE20" s="105">
        <f t="shared" si="15"/>
        <v>2.8330365915247197E-2</v>
      </c>
      <c r="AF20" s="105">
        <f t="shared" si="14"/>
        <v>0.18193982910714285</v>
      </c>
      <c r="AG20" s="106">
        <f t="shared" si="7"/>
        <v>4.2475714285714287E-3</v>
      </c>
      <c r="AH20" s="107">
        <f t="shared" si="8"/>
        <v>5.4581948732142851E-3</v>
      </c>
      <c r="AI20" s="107">
        <f t="shared" si="9"/>
        <v>1.0406550000000001E-3</v>
      </c>
      <c r="AJ20" s="105">
        <f t="shared" si="10"/>
        <v>5.2882264285714284E-3</v>
      </c>
      <c r="AK20" s="105">
        <f t="shared" si="11"/>
        <v>0.18739802398035713</v>
      </c>
      <c r="AL20" s="108">
        <f t="shared" si="12"/>
        <v>0.22171436882577578</v>
      </c>
      <c r="AM20" s="45"/>
      <c r="AN20" s="45"/>
      <c r="AO20" s="45"/>
    </row>
    <row r="21" spans="1:41" ht="15.75" customHeight="1">
      <c r="A21" s="110" t="s">
        <v>54</v>
      </c>
      <c r="B21" s="45" t="s">
        <v>104</v>
      </c>
      <c r="C21" s="102">
        <f>(VLOOKUP($A21,'Beef Animal Numbers'!$B$2:$E$52,2,FALSE) * 1000) * VLOOKUP($A21,'volatile solids and nex'!$B$4:$V$53,13,FALSE)</f>
        <v>1747900</v>
      </c>
      <c r="D21" s="38">
        <f>(VLOOKUP($A21,'Beef Animal Numbers'!$B$2:$E$52,3,FALSE) * 1000) * VLOOKUP($A21,'volatile solids and nex'!$B$4:$V$53,8,FALSE)</f>
        <v>756665000</v>
      </c>
      <c r="E21" s="38">
        <f>(VLOOKUP($A21,'Beef Animal Numbers'!$B$2:$E$52,4,FALSE) * 1000) * VLOOKUP($A21,'volatile solids and nex'!$B$4:$V$53,12,FALSE)</f>
        <v>2013000</v>
      </c>
      <c r="F21" s="38">
        <f>(VLOOKUP($A21,'Beef Animal Numbers'!$B$2:$I$52,5,FALSE) * 1000) * VLOOKUP($A21,'volatile solids and nex'!$B$4:$V$53,9,FALSE)</f>
        <v>20976000</v>
      </c>
      <c r="G21" s="38">
        <f>(VLOOKUP($A21,'Beef Animal Numbers'!$B$2:$I$52,6,FALSE) * 1000) * VLOOKUP($A21,'volatile solids and nex'!$B$4:$V$53,11,FALSE)</f>
        <v>31694000</v>
      </c>
      <c r="H21" s="38">
        <f>(VLOOKUP($A21,'Beef Animal Numbers'!$B$2:$I$52,7,FALSE) * 1000) * VLOOKUP($A21,'volatile solids and nex'!$B$4:$V$53,10,FALSE)</f>
        <v>10703000</v>
      </c>
      <c r="I21" s="103">
        <f>(VLOOKUP($A21,'Beef Animal Numbers'!$B$2:$I$52,8,FALSE) * 1000) * VLOOKUP($A21,'volatile solids and nex'!$B$4:$V$53,11,FALSE)</f>
        <v>6201000</v>
      </c>
      <c r="J21" s="102">
        <f>(VLOOKUP($A21,'Beef Animal Numbers'!$B$2:$E$52,2,FALSE) * 1000) * VLOOKUP($A21,'volatile solids and nex'!$B$4:$W$53,22,FALSE)</f>
        <v>102150</v>
      </c>
      <c r="K21" s="38">
        <f>(VLOOKUP($A21,'Beef Animal Numbers'!$B$2:$E$52,3,FALSE) * 1000) * VLOOKUP($A21,'volatile solids and nex'!$B$4:$W$53,16,FALSE)</f>
        <v>33215000</v>
      </c>
      <c r="L21" s="38">
        <f>(VLOOKUP($A21,'Beef Animal Numbers'!$B$2:$E$52,4,FALSE) * 1000) * VLOOKUP($A21,'volatile solids and nex'!$B$4:$W$53,20,FALSE)</f>
        <v>180000</v>
      </c>
      <c r="M21" s="38">
        <f>(VLOOKUP($A21,'Beef Animal Numbers'!$B$2:$I$52,5,FALSE) * 1000) * VLOOKUP($A21,'volatile solids and nex'!$B$4:$W$53,17,FALSE)</f>
        <v>969000</v>
      </c>
      <c r="N21" s="38">
        <f>(VLOOKUP($A21,'Beef Animal Numbers'!$B$2:$I$52,6,FALSE) * 1000) * VLOOKUP($A21,'volatile solids and nex'!$B$4:$W$53,19,FALSE)</f>
        <v>2714000</v>
      </c>
      <c r="O21" s="38">
        <f>(VLOOKUP($A21,'Beef Animal Numbers'!$B$2:$I$52,7,FALSE) * 1000) * VLOOKUP($A21,'volatile solids and nex'!$B$4:$W$53,18,FALSE)</f>
        <v>451000</v>
      </c>
      <c r="P21" s="103">
        <f>(VLOOKUP($A21,'Beef Animal Numbers'!$B$2:$I$52,8,FALSE) * 1000) * VLOOKUP($A21,'volatile solids and nex'!$B$4:$W$53,19,FALSE)</f>
        <v>531000</v>
      </c>
      <c r="Q21" s="33">
        <v>0.33</v>
      </c>
      <c r="R21" s="33">
        <v>0.17</v>
      </c>
      <c r="S21" s="104">
        <v>0.47</v>
      </c>
      <c r="T21" s="33">
        <f>VLOOKUP(A21,'avg ann temp, manure EFs'!$B$3:$J$52,6,FALSE)</f>
        <v>1.5</v>
      </c>
      <c r="U21" s="33">
        <v>100</v>
      </c>
      <c r="V21" s="34">
        <v>100</v>
      </c>
      <c r="W21" s="34">
        <f t="shared" si="13"/>
        <v>924.53073019999999</v>
      </c>
      <c r="X21" s="34">
        <f t="shared" si="0"/>
        <v>400228.87176999997</v>
      </c>
      <c r="Y21" s="34">
        <f t="shared" si="1"/>
        <v>6596.3996999999999</v>
      </c>
      <c r="Z21" s="34">
        <f t="shared" si="2"/>
        <v>11095.003487999998</v>
      </c>
      <c r="AA21" s="34">
        <f t="shared" si="3"/>
        <v>16764.160971999998</v>
      </c>
      <c r="AB21" s="34">
        <f t="shared" si="4"/>
        <v>5661.223414</v>
      </c>
      <c r="AC21" s="34">
        <f t="shared" si="5"/>
        <v>3279.9445379999997</v>
      </c>
      <c r="AD21" s="105">
        <f t="shared" si="6"/>
        <v>1.846991916E-4</v>
      </c>
      <c r="AE21" s="105">
        <f t="shared" si="15"/>
        <v>1.2262704577541597E-2</v>
      </c>
      <c r="AF21" s="105">
        <f t="shared" si="14"/>
        <v>7.9084262321428567E-2</v>
      </c>
      <c r="AG21" s="106">
        <f t="shared" si="7"/>
        <v>7.4957142857142855E-4</v>
      </c>
      <c r="AH21" s="107">
        <f t="shared" si="8"/>
        <v>2.372527869642857E-3</v>
      </c>
      <c r="AI21" s="107">
        <f t="shared" si="9"/>
        <v>1.8364500000000002E-4</v>
      </c>
      <c r="AJ21" s="105">
        <f t="shared" si="10"/>
        <v>9.3321642857142851E-4</v>
      </c>
      <c r="AK21" s="105">
        <f t="shared" si="11"/>
        <v>8.1456790191071424E-2</v>
      </c>
      <c r="AL21" s="108">
        <f t="shared" si="12"/>
        <v>9.4837410388784446E-2</v>
      </c>
      <c r="AM21" s="45"/>
      <c r="AN21" s="45"/>
      <c r="AO21" s="45"/>
    </row>
    <row r="22" spans="1:41" ht="15.75" customHeight="1">
      <c r="A22" s="110" t="s">
        <v>55</v>
      </c>
      <c r="B22" s="45" t="s">
        <v>104</v>
      </c>
      <c r="C22" s="102">
        <f>(VLOOKUP($A22,'Beef Animal Numbers'!$B$2:$E$52,2,FALSE) * 1000) * VLOOKUP($A22,'volatile solids and nex'!$B$4:$V$53,13,FALSE)</f>
        <v>23100</v>
      </c>
      <c r="D22" s="38">
        <f>(VLOOKUP($A22,'Beef Animal Numbers'!$B$2:$E$52,3,FALSE) * 1000) * VLOOKUP($A22,'volatile solids and nex'!$B$4:$V$53,8,FALSE)</f>
        <v>10032000</v>
      </c>
      <c r="E22" s="38">
        <f>(VLOOKUP($A22,'Beef Animal Numbers'!$B$2:$E$52,4,FALSE) * 1000) * VLOOKUP($A22,'volatile solids and nex'!$B$4:$V$53,12,FALSE)</f>
        <v>0</v>
      </c>
      <c r="F22" s="38">
        <f>(VLOOKUP($A22,'Beef Animal Numbers'!$B$2:$I$52,5,FALSE) * 1000) * VLOOKUP($A22,'volatile solids and nex'!$B$4:$V$53,9,FALSE)</f>
        <v>0</v>
      </c>
      <c r="G22" s="38">
        <f>(VLOOKUP($A22,'Beef Animal Numbers'!$B$2:$I$52,6,FALSE) * 1000) * VLOOKUP($A22,'volatile solids and nex'!$B$4:$V$53,11,FALSE)</f>
        <v>689000</v>
      </c>
      <c r="H22" s="38">
        <f>(VLOOKUP($A22,'Beef Animal Numbers'!$B$2:$I$52,7,FALSE) * 1000) * VLOOKUP($A22,'volatile solids and nex'!$B$4:$V$53,10,FALSE)</f>
        <v>979000</v>
      </c>
      <c r="I22" s="103">
        <f>(VLOOKUP($A22,'Beef Animal Numbers'!$B$2:$I$52,8,FALSE) * 1000) * VLOOKUP($A22,'volatile solids and nex'!$B$4:$V$53,11,FALSE)</f>
        <v>0</v>
      </c>
      <c r="J22" s="102">
        <f>(VLOOKUP($A22,'Beef Animal Numbers'!$B$2:$E$52,2,FALSE) * 1000) * VLOOKUP($A22,'volatile solids and nex'!$B$4:$W$53,22,FALSE)</f>
        <v>1350</v>
      </c>
      <c r="K22" s="38">
        <f>(VLOOKUP($A22,'Beef Animal Numbers'!$B$2:$E$52,3,FALSE) * 1000) * VLOOKUP($A22,'volatile solids and nex'!$B$4:$W$53,16,FALSE)</f>
        <v>444000</v>
      </c>
      <c r="L22" s="38">
        <f>(VLOOKUP($A22,'Beef Animal Numbers'!$B$2:$E$52,4,FALSE) * 1000) * VLOOKUP($A22,'volatile solids and nex'!$B$4:$W$53,20,FALSE)</f>
        <v>0</v>
      </c>
      <c r="M22" s="38">
        <f>(VLOOKUP($A22,'Beef Animal Numbers'!$B$2:$I$52,5,FALSE) * 1000) * VLOOKUP($A22,'volatile solids and nex'!$B$4:$W$53,17,FALSE)</f>
        <v>0</v>
      </c>
      <c r="N22" s="38">
        <f>(VLOOKUP($A22,'Beef Animal Numbers'!$B$2:$I$52,6,FALSE) * 1000) * VLOOKUP($A22,'volatile solids and nex'!$B$4:$W$53,19,FALSE)</f>
        <v>58000</v>
      </c>
      <c r="O22" s="38">
        <f>(VLOOKUP($A22,'Beef Animal Numbers'!$B$2:$I$52,7,FALSE) * 1000) * VLOOKUP($A22,'volatile solids and nex'!$B$4:$W$53,18,FALSE)</f>
        <v>42000</v>
      </c>
      <c r="P22" s="103">
        <f>(VLOOKUP($A22,'Beef Animal Numbers'!$B$2:$I$52,8,FALSE) * 1000) * VLOOKUP($A22,'volatile solids and nex'!$B$4:$W$53,19,FALSE)</f>
        <v>0</v>
      </c>
      <c r="Q22" s="33">
        <v>0.33</v>
      </c>
      <c r="R22" s="33">
        <v>0.17</v>
      </c>
      <c r="S22" s="104">
        <v>0.47</v>
      </c>
      <c r="T22" s="33">
        <f>VLOOKUP(A22,'avg ann temp, manure EFs'!$B$3:$J$52,6,FALSE)</f>
        <v>1</v>
      </c>
      <c r="U22" s="33">
        <v>100</v>
      </c>
      <c r="V22" s="34">
        <v>100</v>
      </c>
      <c r="W22" s="34">
        <f t="shared" si="13"/>
        <v>12.218467800000001</v>
      </c>
      <c r="X22" s="34">
        <f t="shared" si="0"/>
        <v>5306.3060159999995</v>
      </c>
      <c r="Y22" s="34">
        <f t="shared" si="1"/>
        <v>0</v>
      </c>
      <c r="Z22" s="34">
        <f t="shared" si="2"/>
        <v>0</v>
      </c>
      <c r="AA22" s="34">
        <f t="shared" si="3"/>
        <v>364.43828200000002</v>
      </c>
      <c r="AB22" s="34">
        <f t="shared" si="4"/>
        <v>517.83030199999996</v>
      </c>
      <c r="AC22" s="34">
        <f t="shared" si="5"/>
        <v>0</v>
      </c>
      <c r="AD22" s="105">
        <f t="shared" si="6"/>
        <v>0</v>
      </c>
      <c r="AE22" s="105">
        <f t="shared" si="15"/>
        <v>1.7362220589840001E-4</v>
      </c>
      <c r="AF22" s="105">
        <f t="shared" si="14"/>
        <v>1.1354966071428572E-3</v>
      </c>
      <c r="AG22" s="106">
        <f t="shared" si="7"/>
        <v>0</v>
      </c>
      <c r="AH22" s="107">
        <f t="shared" si="8"/>
        <v>3.4064898214285716E-5</v>
      </c>
      <c r="AI22" s="107">
        <f t="shared" si="9"/>
        <v>0</v>
      </c>
      <c r="AJ22" s="105">
        <f t="shared" si="10"/>
        <v>0</v>
      </c>
      <c r="AK22" s="105">
        <f t="shared" si="11"/>
        <v>1.169561505357143E-3</v>
      </c>
      <c r="AL22" s="108">
        <f t="shared" si="12"/>
        <v>1.3431837112555431E-3</v>
      </c>
      <c r="AM22" s="45"/>
      <c r="AN22" s="45"/>
      <c r="AO22" s="45"/>
    </row>
    <row r="23" spans="1:41" ht="15.75" customHeight="1">
      <c r="A23" s="110" t="s">
        <v>56</v>
      </c>
      <c r="B23" s="45" t="s">
        <v>104</v>
      </c>
      <c r="C23" s="102">
        <f>(VLOOKUP($A23,'Beef Animal Numbers'!$B$2:$E$52,2,FALSE) * 1000) * VLOOKUP($A23,'volatile solids and nex'!$B$4:$V$53,13,FALSE)</f>
        <v>177100</v>
      </c>
      <c r="D23" s="38">
        <f>(VLOOKUP($A23,'Beef Animal Numbers'!$B$2:$E$52,3,FALSE) * 1000) * VLOOKUP($A23,'volatile solids and nex'!$B$4:$V$53,8,FALSE)</f>
        <v>78584000</v>
      </c>
      <c r="E23" s="38">
        <f>(VLOOKUP($A23,'Beef Animal Numbers'!$B$2:$E$52,4,FALSE) * 1000) * VLOOKUP($A23,'volatile solids and nex'!$B$4:$V$53,12,FALSE)</f>
        <v>4711000</v>
      </c>
      <c r="F23" s="38">
        <f>(VLOOKUP($A23,'Beef Animal Numbers'!$B$2:$I$52,5,FALSE) * 1000) * VLOOKUP($A23,'volatile solids and nex'!$B$4:$V$53,9,FALSE)</f>
        <v>3276000</v>
      </c>
      <c r="G23" s="38">
        <f>(VLOOKUP($A23,'Beef Animal Numbers'!$B$2:$I$52,6,FALSE) * 1000) * VLOOKUP($A23,'volatile solids and nex'!$B$4:$V$53,11,FALSE)</f>
        <v>4134000</v>
      </c>
      <c r="H23" s="38">
        <f>(VLOOKUP($A23,'Beef Animal Numbers'!$B$2:$I$52,7,FALSE) * 1000) * VLOOKUP($A23,'volatile solids and nex'!$B$4:$V$53,10,FALSE)</f>
        <v>4895000</v>
      </c>
      <c r="I23" s="103">
        <f>(VLOOKUP($A23,'Beef Animal Numbers'!$B$2:$I$52,8,FALSE) * 1000) * VLOOKUP($A23,'volatile solids and nex'!$B$4:$V$53,11,FALSE)</f>
        <v>2756000</v>
      </c>
      <c r="J23" s="102">
        <f>(VLOOKUP($A23,'Beef Animal Numbers'!$B$2:$E$52,2,FALSE) * 1000) * VLOOKUP($A23,'volatile solids and nex'!$B$4:$W$53,22,FALSE)</f>
        <v>10350</v>
      </c>
      <c r="K23" s="38">
        <f>(VLOOKUP($A23,'Beef Animal Numbers'!$B$2:$E$52,3,FALSE) * 1000) * VLOOKUP($A23,'volatile solids and nex'!$B$4:$W$53,16,FALSE)</f>
        <v>3478000</v>
      </c>
      <c r="L23" s="38">
        <f>(VLOOKUP($A23,'Beef Animal Numbers'!$B$2:$E$52,4,FALSE) * 1000) * VLOOKUP($A23,'volatile solids and nex'!$B$4:$W$53,20,FALSE)</f>
        <v>420000</v>
      </c>
      <c r="M23" s="38">
        <f>(VLOOKUP($A23,'Beef Animal Numbers'!$B$2:$I$52,5,FALSE) * 1000) * VLOOKUP($A23,'volatile solids and nex'!$B$4:$W$53,17,FALSE)</f>
        <v>150000</v>
      </c>
      <c r="N23" s="38">
        <f>(VLOOKUP($A23,'Beef Animal Numbers'!$B$2:$I$52,6,FALSE) * 1000) * VLOOKUP($A23,'volatile solids and nex'!$B$4:$W$53,19,FALSE)</f>
        <v>354000</v>
      </c>
      <c r="O23" s="38">
        <f>(VLOOKUP($A23,'Beef Animal Numbers'!$B$2:$I$52,7,FALSE) * 1000) * VLOOKUP($A23,'volatile solids and nex'!$B$4:$W$53,18,FALSE)</f>
        <v>210000</v>
      </c>
      <c r="P23" s="103">
        <f>(VLOOKUP($A23,'Beef Animal Numbers'!$B$2:$I$52,8,FALSE) * 1000) * VLOOKUP($A23,'volatile solids and nex'!$B$4:$W$53,19,FALSE)</f>
        <v>236000</v>
      </c>
      <c r="Q23" s="33">
        <v>0.33</v>
      </c>
      <c r="R23" s="33">
        <v>0.17</v>
      </c>
      <c r="S23" s="104">
        <v>0.47</v>
      </c>
      <c r="T23" s="33">
        <f>VLOOKUP(A23,'avg ann temp, manure EFs'!$B$3:$J$52,6,FALSE)</f>
        <v>1</v>
      </c>
      <c r="U23" s="33">
        <v>100</v>
      </c>
      <c r="V23" s="34">
        <v>100</v>
      </c>
      <c r="W23" s="34">
        <f t="shared" si="13"/>
        <v>93.674919799999998</v>
      </c>
      <c r="X23" s="34">
        <f t="shared" si="0"/>
        <v>41566.063792000001</v>
      </c>
      <c r="Y23" s="34">
        <f t="shared" si="1"/>
        <v>10291.650600000001</v>
      </c>
      <c r="Z23" s="34">
        <f t="shared" si="2"/>
        <v>1732.800888</v>
      </c>
      <c r="AA23" s="34">
        <f t="shared" si="3"/>
        <v>2186.629692</v>
      </c>
      <c r="AB23" s="34">
        <f t="shared" si="4"/>
        <v>2589.1515099999997</v>
      </c>
      <c r="AC23" s="34">
        <f t="shared" si="5"/>
        <v>1457.7531280000001</v>
      </c>
      <c r="AD23" s="105">
        <f t="shared" si="6"/>
        <v>2.8816621680000001E-4</v>
      </c>
      <c r="AE23" s="105">
        <f t="shared" si="15"/>
        <v>1.3895300700344001E-3</v>
      </c>
      <c r="AF23" s="105">
        <f t="shared" si="14"/>
        <v>9.2412787500000017E-3</v>
      </c>
      <c r="AG23" s="106">
        <f t="shared" si="7"/>
        <v>1.7489999999999999E-3</v>
      </c>
      <c r="AH23" s="107">
        <f t="shared" si="8"/>
        <v>2.7723836249999998E-4</v>
      </c>
      <c r="AI23" s="107">
        <f t="shared" si="9"/>
        <v>4.2850500000000003E-4</v>
      </c>
      <c r="AJ23" s="105">
        <f t="shared" si="10"/>
        <v>2.1775049999999997E-3</v>
      </c>
      <c r="AK23" s="105">
        <f t="shared" si="11"/>
        <v>9.5185171125000013E-3</v>
      </c>
      <c r="AL23" s="108">
        <f t="shared" si="12"/>
        <v>1.33737183993344E-2</v>
      </c>
      <c r="AM23" s="45"/>
      <c r="AN23" s="45"/>
      <c r="AO23" s="45"/>
    </row>
    <row r="24" spans="1:41" ht="15.75" customHeight="1">
      <c r="A24" s="110" t="s">
        <v>57</v>
      </c>
      <c r="B24" s="45" t="s">
        <v>104</v>
      </c>
      <c r="C24" s="102">
        <f>(VLOOKUP($A24,'Beef Animal Numbers'!$B$2:$E$52,2,FALSE) * 1000) * VLOOKUP($A24,'volatile solids and nex'!$B$4:$V$53,13,FALSE)</f>
        <v>38500</v>
      </c>
      <c r="D24" s="38">
        <f>(VLOOKUP($A24,'Beef Animal Numbers'!$B$2:$E$52,3,FALSE) * 1000) * VLOOKUP($A24,'volatile solids and nex'!$B$4:$V$53,8,FALSE)</f>
        <v>18392000</v>
      </c>
      <c r="E24" s="38">
        <f>(VLOOKUP($A24,'Beef Animal Numbers'!$B$2:$E$52,4,FALSE) * 1000) * VLOOKUP($A24,'volatile solids and nex'!$B$4:$V$53,12,FALSE)</f>
        <v>670000</v>
      </c>
      <c r="F24" s="38">
        <f>(VLOOKUP($A24,'Beef Animal Numbers'!$B$2:$I$52,5,FALSE) * 1000) * VLOOKUP($A24,'volatile solids and nex'!$B$4:$V$53,9,FALSE)</f>
        <v>1085000</v>
      </c>
      <c r="G24" s="38">
        <f>(VLOOKUP($A24,'Beef Animal Numbers'!$B$2:$I$52,6,FALSE) * 1000) * VLOOKUP($A24,'volatile solids and nex'!$B$4:$V$53,11,FALSE)</f>
        <v>1378000</v>
      </c>
      <c r="H24" s="38">
        <f>(VLOOKUP($A24,'Beef Animal Numbers'!$B$2:$I$52,7,FALSE) * 1000) * VLOOKUP($A24,'volatile solids and nex'!$B$4:$V$53,10,FALSE)</f>
        <v>1958000</v>
      </c>
      <c r="I24" s="103">
        <f>(VLOOKUP($A24,'Beef Animal Numbers'!$B$2:$I$52,8,FALSE) * 1000) * VLOOKUP($A24,'volatile solids and nex'!$B$4:$V$53,11,FALSE)</f>
        <v>1378000</v>
      </c>
      <c r="J24" s="102">
        <f>(VLOOKUP($A24,'Beef Animal Numbers'!$B$2:$E$52,2,FALSE) * 1000) * VLOOKUP($A24,'volatile solids and nex'!$B$4:$W$53,22,FALSE)</f>
        <v>2250</v>
      </c>
      <c r="K24" s="38">
        <f>(VLOOKUP($A24,'Beef Animal Numbers'!$B$2:$E$52,3,FALSE) * 1000) * VLOOKUP($A24,'volatile solids and nex'!$B$4:$W$53,16,FALSE)</f>
        <v>814000</v>
      </c>
      <c r="L24" s="38">
        <f>(VLOOKUP($A24,'Beef Animal Numbers'!$B$2:$E$52,4,FALSE) * 1000) * VLOOKUP($A24,'volatile solids and nex'!$B$4:$W$53,20,FALSE)</f>
        <v>60000</v>
      </c>
      <c r="M24" s="38">
        <f>(VLOOKUP($A24,'Beef Animal Numbers'!$B$2:$I$52,5,FALSE) * 1000) * VLOOKUP($A24,'volatile solids and nex'!$B$4:$W$53,17,FALSE)</f>
        <v>50000</v>
      </c>
      <c r="N24" s="38">
        <f>(VLOOKUP($A24,'Beef Animal Numbers'!$B$2:$I$52,6,FALSE) * 1000) * VLOOKUP($A24,'volatile solids and nex'!$B$4:$W$53,19,FALSE)</f>
        <v>116000</v>
      </c>
      <c r="O24" s="38">
        <f>(VLOOKUP($A24,'Beef Animal Numbers'!$B$2:$I$52,7,FALSE) * 1000) * VLOOKUP($A24,'volatile solids and nex'!$B$4:$W$53,18,FALSE)</f>
        <v>84000</v>
      </c>
      <c r="P24" s="103">
        <f>(VLOOKUP($A24,'Beef Animal Numbers'!$B$2:$I$52,8,FALSE) * 1000) * VLOOKUP($A24,'volatile solids and nex'!$B$4:$W$53,19,FALSE)</f>
        <v>116000</v>
      </c>
      <c r="Q24" s="33">
        <v>0.33</v>
      </c>
      <c r="R24" s="33">
        <v>0.17</v>
      </c>
      <c r="S24" s="104">
        <v>0.47</v>
      </c>
      <c r="T24" s="33">
        <f>VLOOKUP(A24,'avg ann temp, manure EFs'!$B$3:$J$52,6,FALSE)</f>
        <v>1</v>
      </c>
      <c r="U24" s="33">
        <v>100</v>
      </c>
      <c r="V24" s="34">
        <v>100</v>
      </c>
      <c r="W24" s="34">
        <f t="shared" si="13"/>
        <v>20.364112999999996</v>
      </c>
      <c r="X24" s="34">
        <f t="shared" si="0"/>
        <v>9728.2276959999999</v>
      </c>
      <c r="Y24" s="34">
        <f t="shared" si="1"/>
        <v>1463.6820000000002</v>
      </c>
      <c r="Z24" s="34">
        <f t="shared" si="2"/>
        <v>573.89772999999991</v>
      </c>
      <c r="AA24" s="34">
        <f t="shared" si="3"/>
        <v>728.87656400000003</v>
      </c>
      <c r="AB24" s="34">
        <f t="shared" si="4"/>
        <v>1035.6606039999999</v>
      </c>
      <c r="AC24" s="34">
        <f t="shared" si="5"/>
        <v>728.87656400000003</v>
      </c>
      <c r="AD24" s="105">
        <f t="shared" si="6"/>
        <v>4.0983096000000007E-5</v>
      </c>
      <c r="AE24" s="105">
        <f t="shared" si="15"/>
        <v>3.5884529158800005E-4</v>
      </c>
      <c r="AF24" s="105">
        <f t="shared" si="14"/>
        <v>2.4616133928571427E-3</v>
      </c>
      <c r="AG24" s="106">
        <f t="shared" si="7"/>
        <v>2.4985714285714287E-4</v>
      </c>
      <c r="AH24" s="107">
        <f t="shared" si="8"/>
        <v>7.3848401785714279E-5</v>
      </c>
      <c r="AI24" s="107">
        <f t="shared" si="9"/>
        <v>6.1215000000000003E-5</v>
      </c>
      <c r="AJ24" s="105">
        <f t="shared" si="10"/>
        <v>3.1107214285714286E-4</v>
      </c>
      <c r="AK24" s="105">
        <f t="shared" si="11"/>
        <v>2.5354617946428569E-3</v>
      </c>
      <c r="AL24" s="108">
        <f t="shared" si="12"/>
        <v>3.246362325088E-3</v>
      </c>
      <c r="AM24" s="45"/>
      <c r="AN24" s="45"/>
      <c r="AO24" s="45"/>
    </row>
    <row r="25" spans="1:41" ht="15.75" customHeight="1">
      <c r="A25" s="110" t="s">
        <v>58</v>
      </c>
      <c r="B25" s="45" t="s">
        <v>104</v>
      </c>
      <c r="C25" s="102">
        <f>(VLOOKUP($A25,'Beef Animal Numbers'!$B$2:$E$52,2,FALSE) * 1000) * VLOOKUP($A25,'volatile solids and nex'!$B$4:$V$53,13,FALSE)</f>
        <v>354200</v>
      </c>
      <c r="D25" s="38">
        <f>(VLOOKUP($A25,'Beef Animal Numbers'!$B$2:$E$52,3,FALSE) * 1000) * VLOOKUP($A25,'volatile solids and nex'!$B$4:$V$53,8,FALSE)</f>
        <v>147591000</v>
      </c>
      <c r="E25" s="38">
        <f>(VLOOKUP($A25,'Beef Animal Numbers'!$B$2:$E$52,4,FALSE) * 1000) * VLOOKUP($A25,'volatile solids and nex'!$B$4:$V$53,12,FALSE)</f>
        <v>110715000</v>
      </c>
      <c r="F25" s="38">
        <f>(VLOOKUP($A25,'Beef Animal Numbers'!$B$2:$I$52,5,FALSE) * 1000) * VLOOKUP($A25,'volatile solids and nex'!$B$4:$V$53,9,FALSE)</f>
        <v>5085000</v>
      </c>
      <c r="G25" s="38">
        <f>(VLOOKUP($A25,'Beef Animal Numbers'!$B$2:$I$52,6,FALSE) * 1000) * VLOOKUP($A25,'volatile solids and nex'!$B$4:$V$53,11,FALSE)</f>
        <v>8957000</v>
      </c>
      <c r="H25" s="38">
        <f>(VLOOKUP($A25,'Beef Animal Numbers'!$B$2:$I$52,7,FALSE) * 1000) * VLOOKUP($A25,'volatile solids and nex'!$B$4:$V$53,10,FALSE)</f>
        <v>74080000</v>
      </c>
      <c r="I25" s="103">
        <f>(VLOOKUP($A25,'Beef Animal Numbers'!$B$2:$I$52,8,FALSE) * 1000) * VLOOKUP($A25,'volatile solids and nex'!$B$4:$V$53,11,FALSE)</f>
        <v>10335000</v>
      </c>
      <c r="J25" s="102">
        <f>(VLOOKUP($A25,'Beef Animal Numbers'!$B$2:$E$52,2,FALSE) * 1000) * VLOOKUP($A25,'volatile solids and nex'!$B$4:$W$53,22,FALSE)</f>
        <v>20700</v>
      </c>
      <c r="K25" s="38">
        <f>(VLOOKUP($A25,'Beef Animal Numbers'!$B$2:$E$52,3,FALSE) * 1000) * VLOOKUP($A25,'volatile solids and nex'!$B$4:$W$53,16,FALSE)</f>
        <v>6975000</v>
      </c>
      <c r="L25" s="38">
        <f>(VLOOKUP($A25,'Beef Animal Numbers'!$B$2:$E$52,4,FALSE) * 1000) * VLOOKUP($A25,'volatile solids and nex'!$B$4:$W$53,20,FALSE)</f>
        <v>9900000</v>
      </c>
      <c r="M25" s="38">
        <f>(VLOOKUP($A25,'Beef Animal Numbers'!$B$2:$I$52,5,FALSE) * 1000) * VLOOKUP($A25,'volatile solids and nex'!$B$4:$W$53,17,FALSE)</f>
        <v>250000</v>
      </c>
      <c r="N25" s="38">
        <f>(VLOOKUP($A25,'Beef Animal Numbers'!$B$2:$I$52,6,FALSE) * 1000) * VLOOKUP($A25,'volatile solids and nex'!$B$4:$W$53,19,FALSE)</f>
        <v>767000</v>
      </c>
      <c r="O25" s="38">
        <f>(VLOOKUP($A25,'Beef Animal Numbers'!$B$2:$I$52,7,FALSE) * 1000) * VLOOKUP($A25,'volatile solids and nex'!$B$4:$W$53,18,FALSE)</f>
        <v>3440000</v>
      </c>
      <c r="P25" s="103">
        <f>(VLOOKUP($A25,'Beef Animal Numbers'!$B$2:$I$52,8,FALSE) * 1000) * VLOOKUP($A25,'volatile solids and nex'!$B$4:$W$53,19,FALSE)</f>
        <v>885000</v>
      </c>
      <c r="Q25" s="33">
        <v>0.33</v>
      </c>
      <c r="R25" s="33">
        <v>0.17</v>
      </c>
      <c r="S25" s="104">
        <v>0.47</v>
      </c>
      <c r="T25" s="33">
        <f>VLOOKUP(A25,'avg ann temp, manure EFs'!$B$3:$J$52,6,FALSE)</f>
        <v>1</v>
      </c>
      <c r="U25" s="33">
        <v>100</v>
      </c>
      <c r="V25" s="34">
        <v>100</v>
      </c>
      <c r="W25" s="34">
        <f t="shared" si="13"/>
        <v>187.3498396</v>
      </c>
      <c r="X25" s="34">
        <f t="shared" si="0"/>
        <v>78066.488357999988</v>
      </c>
      <c r="Y25" s="34">
        <f t="shared" si="1"/>
        <v>241867.98900000003</v>
      </c>
      <c r="Z25" s="34">
        <f t="shared" si="2"/>
        <v>2689.6497299999996</v>
      </c>
      <c r="AA25" s="34">
        <f t="shared" si="3"/>
        <v>4737.6976659999991</v>
      </c>
      <c r="AB25" s="34">
        <f t="shared" si="4"/>
        <v>39183.727039999998</v>
      </c>
      <c r="AC25" s="34">
        <f t="shared" si="5"/>
        <v>5466.5742300000002</v>
      </c>
      <c r="AD25" s="105">
        <f t="shared" si="6"/>
        <v>6.7723036920000011E-3</v>
      </c>
      <c r="AE25" s="105">
        <f t="shared" si="15"/>
        <v>3.6492816321807998E-3</v>
      </c>
      <c r="AF25" s="105">
        <f t="shared" si="14"/>
        <v>2.5688853928571426E-2</v>
      </c>
      <c r="AG25" s="106">
        <f t="shared" si="7"/>
        <v>4.1226428571428574E-2</v>
      </c>
      <c r="AH25" s="107">
        <f t="shared" si="8"/>
        <v>7.7066561785714275E-4</v>
      </c>
      <c r="AI25" s="107">
        <f t="shared" si="9"/>
        <v>1.0100474999999999E-2</v>
      </c>
      <c r="AJ25" s="105">
        <f t="shared" si="10"/>
        <v>5.1326903571428571E-2</v>
      </c>
      <c r="AK25" s="105">
        <f t="shared" si="11"/>
        <v>2.645951954642857E-2</v>
      </c>
      <c r="AL25" s="108">
        <f t="shared" si="12"/>
        <v>8.8208008442037938E-2</v>
      </c>
      <c r="AM25" s="45"/>
      <c r="AN25" s="45"/>
      <c r="AO25" s="45"/>
    </row>
    <row r="26" spans="1:41" ht="15.75" customHeight="1">
      <c r="A26" s="110" t="s">
        <v>59</v>
      </c>
      <c r="B26" s="45" t="s">
        <v>104</v>
      </c>
      <c r="C26" s="102">
        <f>(VLOOKUP($A26,'Beef Animal Numbers'!$B$2:$E$52,2,FALSE) * 1000) * VLOOKUP($A26,'volatile solids and nex'!$B$4:$V$53,13,FALSE)</f>
        <v>8000300</v>
      </c>
      <c r="D26" s="38">
        <f>(VLOOKUP($A26,'Beef Animal Numbers'!$B$2:$E$52,3,FALSE) * 1000) * VLOOKUP($A26,'volatile solids and nex'!$B$4:$V$53,8,FALSE)</f>
        <v>3305721000</v>
      </c>
      <c r="E26" s="38">
        <f>(VLOOKUP($A26,'Beef Animal Numbers'!$B$2:$E$52,4,FALSE) * 1000) * VLOOKUP($A26,'volatile solids and nex'!$B$4:$V$53,12,FALSE)</f>
        <v>73810000</v>
      </c>
      <c r="F26" s="38">
        <f>(VLOOKUP($A26,'Beef Animal Numbers'!$B$2:$I$52,5,FALSE) * 1000) * VLOOKUP($A26,'volatile solids and nex'!$B$4:$V$53,9,FALSE)</f>
        <v>81765000</v>
      </c>
      <c r="G26" s="38">
        <f>(VLOOKUP($A26,'Beef Animal Numbers'!$B$2:$I$52,6,FALSE) * 1000) * VLOOKUP($A26,'volatile solids and nex'!$B$4:$V$53,11,FALSE)</f>
        <v>129532000</v>
      </c>
      <c r="H26" s="38">
        <f>(VLOOKUP($A26,'Beef Animal Numbers'!$B$2:$I$52,7,FALSE) * 1000) * VLOOKUP($A26,'volatile solids and nex'!$B$4:$V$53,10,FALSE)</f>
        <v>174088000</v>
      </c>
      <c r="I26" s="103">
        <f>(VLOOKUP($A26,'Beef Animal Numbers'!$B$2:$I$52,8,FALSE) * 1000) * VLOOKUP($A26,'volatile solids and nex'!$B$4:$V$53,11,FALSE)</f>
        <v>70967000</v>
      </c>
      <c r="J26" s="102">
        <f>(VLOOKUP($A26,'Beef Animal Numbers'!$B$2:$E$52,2,FALSE) * 1000) * VLOOKUP($A26,'volatile solids and nex'!$B$4:$W$53,22,FALSE)</f>
        <v>467550</v>
      </c>
      <c r="K26" s="38">
        <f>(VLOOKUP($A26,'Beef Animal Numbers'!$B$2:$E$52,3,FALSE) * 1000) * VLOOKUP($A26,'volatile solids and nex'!$B$4:$W$53,16,FALSE)</f>
        <v>156225000</v>
      </c>
      <c r="L26" s="38">
        <f>(VLOOKUP($A26,'Beef Animal Numbers'!$B$2:$E$52,4,FALSE) * 1000) * VLOOKUP($A26,'volatile solids and nex'!$B$4:$W$53,20,FALSE)</f>
        <v>6600000</v>
      </c>
      <c r="M26" s="38">
        <f>(VLOOKUP($A26,'Beef Animal Numbers'!$B$2:$I$52,5,FALSE) * 1000) * VLOOKUP($A26,'volatile solids and nex'!$B$4:$W$53,17,FALSE)</f>
        <v>4029000</v>
      </c>
      <c r="N26" s="38">
        <f>(VLOOKUP($A26,'Beef Animal Numbers'!$B$2:$I$52,6,FALSE) * 1000) * VLOOKUP($A26,'volatile solids and nex'!$B$4:$W$53,19,FALSE)</f>
        <v>11092000</v>
      </c>
      <c r="O26" s="38">
        <f>(VLOOKUP($A26,'Beef Animal Numbers'!$B$2:$I$52,7,FALSE) * 1000) * VLOOKUP($A26,'volatile solids and nex'!$B$4:$W$53,18,FALSE)</f>
        <v>8084000</v>
      </c>
      <c r="P26" s="103">
        <f>(VLOOKUP($A26,'Beef Animal Numbers'!$B$2:$I$52,8,FALSE) * 1000) * VLOOKUP($A26,'volatile solids and nex'!$B$4:$W$53,19,FALSE)</f>
        <v>6077000</v>
      </c>
      <c r="Q26" s="33">
        <v>0.33</v>
      </c>
      <c r="R26" s="33">
        <v>0.17</v>
      </c>
      <c r="S26" s="104">
        <v>0.47</v>
      </c>
      <c r="T26" s="33">
        <f>VLOOKUP(A26,'avg ann temp, manure EFs'!$B$3:$J$52,6,FALSE)</f>
        <v>1</v>
      </c>
      <c r="U26" s="33">
        <v>100</v>
      </c>
      <c r="V26" s="34">
        <v>100</v>
      </c>
      <c r="W26" s="34">
        <f t="shared" si="13"/>
        <v>4231.6626814000001</v>
      </c>
      <c r="X26" s="34">
        <f t="shared" si="0"/>
        <v>1748521.4542979999</v>
      </c>
      <c r="Y26" s="34">
        <f t="shared" si="1"/>
        <v>161245.32600000003</v>
      </c>
      <c r="Z26" s="34">
        <f t="shared" si="2"/>
        <v>43248.615570000002</v>
      </c>
      <c r="AA26" s="34">
        <f t="shared" si="3"/>
        <v>68514.397016000003</v>
      </c>
      <c r="AB26" s="34">
        <f t="shared" si="4"/>
        <v>92081.758543999982</v>
      </c>
      <c r="AC26" s="34">
        <f t="shared" si="5"/>
        <v>37537.143045999997</v>
      </c>
      <c r="AD26" s="105">
        <f t="shared" si="6"/>
        <v>4.5148691280000016E-3</v>
      </c>
      <c r="AE26" s="105">
        <f t="shared" si="15"/>
        <v>5.58357808723512E-2</v>
      </c>
      <c r="AF26" s="105">
        <f t="shared" si="14"/>
        <v>0.38722558089285708</v>
      </c>
      <c r="AG26" s="106">
        <f t="shared" si="7"/>
        <v>2.7484285714285711E-2</v>
      </c>
      <c r="AH26" s="107">
        <f t="shared" si="8"/>
        <v>1.1616767426785714E-2</v>
      </c>
      <c r="AI26" s="107">
        <f t="shared" si="9"/>
        <v>6.733649999999999E-3</v>
      </c>
      <c r="AJ26" s="105">
        <f t="shared" si="10"/>
        <v>3.4217935714285712E-2</v>
      </c>
      <c r="AK26" s="105">
        <f t="shared" si="11"/>
        <v>0.39884234831964277</v>
      </c>
      <c r="AL26" s="108">
        <f t="shared" si="12"/>
        <v>0.49341093403427966</v>
      </c>
      <c r="AM26" s="45"/>
      <c r="AN26" s="45"/>
      <c r="AO26" s="45"/>
    </row>
    <row r="27" spans="1:41" ht="15.75" customHeight="1">
      <c r="A27" s="110" t="s">
        <v>60</v>
      </c>
      <c r="B27" s="45" t="s">
        <v>104</v>
      </c>
      <c r="C27" s="102">
        <f>(VLOOKUP($A27,'Beef Animal Numbers'!$B$2:$E$52,2,FALSE) * 1000) * VLOOKUP($A27,'volatile solids and nex'!$B$4:$V$53,13,FALSE)</f>
        <v>1848000</v>
      </c>
      <c r="D27" s="38">
        <f>(VLOOKUP($A27,'Beef Animal Numbers'!$B$2:$E$52,3,FALSE) * 1000) * VLOOKUP($A27,'volatile solids and nex'!$B$4:$V$53,8,FALSE)</f>
        <v>801566000</v>
      </c>
      <c r="E27" s="38">
        <f>(VLOOKUP($A27,'Beef Animal Numbers'!$B$2:$E$52,4,FALSE) * 1000) * VLOOKUP($A27,'volatile solids and nex'!$B$4:$V$53,12,FALSE)</f>
        <v>4697000</v>
      </c>
      <c r="F27" s="38">
        <f>(VLOOKUP($A27,'Beef Animal Numbers'!$B$2:$I$52,5,FALSE) * 1000) * VLOOKUP($A27,'volatile solids and nex'!$B$4:$V$53,9,FALSE)</f>
        <v>22974000</v>
      </c>
      <c r="G27" s="38">
        <f>(VLOOKUP($A27,'Beef Animal Numbers'!$B$2:$I$52,6,FALSE) * 1000) * VLOOKUP($A27,'volatile solids and nex'!$B$4:$V$53,11,FALSE)</f>
        <v>34450000</v>
      </c>
      <c r="H27" s="38">
        <f>(VLOOKUP($A27,'Beef Animal Numbers'!$B$2:$I$52,7,FALSE) * 1000) * VLOOKUP($A27,'volatile solids and nex'!$B$4:$V$53,10,FALSE)</f>
        <v>26244000</v>
      </c>
      <c r="I27" s="103">
        <f>(VLOOKUP($A27,'Beef Animal Numbers'!$B$2:$I$52,8,FALSE) * 1000) * VLOOKUP($A27,'volatile solids and nex'!$B$4:$V$53,11,FALSE)</f>
        <v>13780000</v>
      </c>
      <c r="J27" s="102">
        <f>(VLOOKUP($A27,'Beef Animal Numbers'!$B$2:$E$52,2,FALSE) * 1000) * VLOOKUP($A27,'volatile solids and nex'!$B$4:$W$53,22,FALSE)</f>
        <v>108000</v>
      </c>
      <c r="K27" s="38">
        <f>(VLOOKUP($A27,'Beef Animal Numbers'!$B$2:$E$52,3,FALSE) * 1000) * VLOOKUP($A27,'volatile solids and nex'!$B$4:$W$53,16,FALSE)</f>
        <v>35186000</v>
      </c>
      <c r="L27" s="38">
        <f>(VLOOKUP($A27,'Beef Animal Numbers'!$B$2:$E$52,4,FALSE) * 1000) * VLOOKUP($A27,'volatile solids and nex'!$B$4:$W$53,20,FALSE)</f>
        <v>420000</v>
      </c>
      <c r="M27" s="38">
        <f>(VLOOKUP($A27,'Beef Animal Numbers'!$B$2:$I$52,5,FALSE) * 1000) * VLOOKUP($A27,'volatile solids and nex'!$B$4:$W$53,17,FALSE)</f>
        <v>1050000</v>
      </c>
      <c r="N27" s="38">
        <f>(VLOOKUP($A27,'Beef Animal Numbers'!$B$2:$I$52,6,FALSE) * 1000) * VLOOKUP($A27,'volatile solids and nex'!$B$4:$W$53,19,FALSE)</f>
        <v>2900000</v>
      </c>
      <c r="O27" s="38">
        <f>(VLOOKUP($A27,'Beef Animal Numbers'!$B$2:$I$52,7,FALSE) * 1000) * VLOOKUP($A27,'volatile solids and nex'!$B$4:$W$53,18,FALSE)</f>
        <v>1107000</v>
      </c>
      <c r="P27" s="103">
        <f>(VLOOKUP($A27,'Beef Animal Numbers'!$B$2:$I$52,8,FALSE) * 1000) * VLOOKUP($A27,'volatile solids and nex'!$B$4:$W$53,19,FALSE)</f>
        <v>1160000</v>
      </c>
      <c r="Q27" s="33">
        <v>0.33</v>
      </c>
      <c r="R27" s="33">
        <v>0.17</v>
      </c>
      <c r="S27" s="104">
        <v>0.47</v>
      </c>
      <c r="T27" s="33">
        <f>VLOOKUP(A27,'avg ann temp, manure EFs'!$B$3:$J$52,6,FALSE)</f>
        <v>1.5</v>
      </c>
      <c r="U27" s="33">
        <v>100</v>
      </c>
      <c r="V27" s="34">
        <v>100</v>
      </c>
      <c r="W27" s="34">
        <f t="shared" si="13"/>
        <v>977.47742399999993</v>
      </c>
      <c r="X27" s="34">
        <f t="shared" si="0"/>
        <v>423978.71690799994</v>
      </c>
      <c r="Y27" s="34">
        <f t="shared" si="1"/>
        <v>15391.5993</v>
      </c>
      <c r="Z27" s="34">
        <f t="shared" si="2"/>
        <v>12151.821611999998</v>
      </c>
      <c r="AA27" s="34">
        <f t="shared" si="3"/>
        <v>18221.914099999998</v>
      </c>
      <c r="AB27" s="34">
        <f t="shared" si="4"/>
        <v>13881.448871999999</v>
      </c>
      <c r="AC27" s="34">
        <f t="shared" si="5"/>
        <v>7288.7656399999996</v>
      </c>
      <c r="AD27" s="105">
        <f t="shared" si="6"/>
        <v>4.3096478039999998E-4</v>
      </c>
      <c r="AE27" s="105">
        <f t="shared" si="15"/>
        <v>1.3342004047567997E-2</v>
      </c>
      <c r="AF27" s="105">
        <f t="shared" si="14"/>
        <v>8.6431832142857143E-2</v>
      </c>
      <c r="AG27" s="106">
        <f t="shared" si="7"/>
        <v>1.7489999999999999E-3</v>
      </c>
      <c r="AH27" s="107">
        <f t="shared" si="8"/>
        <v>2.5929549642857135E-3</v>
      </c>
      <c r="AI27" s="107">
        <f t="shared" si="9"/>
        <v>4.2850500000000003E-4</v>
      </c>
      <c r="AJ27" s="105">
        <f t="shared" si="10"/>
        <v>2.1775049999999997E-3</v>
      </c>
      <c r="AK27" s="105">
        <f t="shared" si="11"/>
        <v>8.9024787107142858E-2</v>
      </c>
      <c r="AL27" s="108">
        <f t="shared" si="12"/>
        <v>0.10497526093511085</v>
      </c>
      <c r="AM27" s="45"/>
      <c r="AN27" s="45"/>
      <c r="AO27" s="45"/>
    </row>
    <row r="28" spans="1:41" ht="15.75" customHeight="1">
      <c r="A28" s="110" t="s">
        <v>61</v>
      </c>
      <c r="B28" s="45" t="s">
        <v>104</v>
      </c>
      <c r="C28" s="102">
        <f>(VLOOKUP($A28,'Beef Animal Numbers'!$B$2:$E$52,2,FALSE) * 1000) * VLOOKUP($A28,'volatile solids and nex'!$B$4:$V$53,13,FALSE)</f>
        <v>5482400</v>
      </c>
      <c r="D28" s="38">
        <f>(VLOOKUP($A28,'Beef Animal Numbers'!$B$2:$E$52,3,FALSE) * 1000) * VLOOKUP($A28,'volatile solids and nex'!$B$4:$V$53,8,FALSE)</f>
        <v>2698920000</v>
      </c>
      <c r="E28" s="38">
        <f>(VLOOKUP($A28,'Beef Animal Numbers'!$B$2:$E$52,4,FALSE) * 1000) * VLOOKUP($A28,'volatile solids and nex'!$B$4:$V$53,12,FALSE)</f>
        <v>32879000</v>
      </c>
      <c r="F28" s="38">
        <f>(VLOOKUP($A28,'Beef Animal Numbers'!$B$2:$I$52,5,FALSE) * 1000) * VLOOKUP($A28,'volatile solids and nex'!$B$4:$V$53,9,FALSE)</f>
        <v>115184000</v>
      </c>
      <c r="G28" s="38">
        <f>(VLOOKUP($A28,'Beef Animal Numbers'!$B$2:$I$52,6,FALSE) * 1000) * VLOOKUP($A28,'volatile solids and nex'!$B$4:$V$53,11,FALSE)</f>
        <v>150202000</v>
      </c>
      <c r="H28" s="38">
        <f>(VLOOKUP($A28,'Beef Animal Numbers'!$B$2:$I$52,7,FALSE) * 1000) * VLOOKUP($A28,'volatile solids and nex'!$B$4:$V$53,10,FALSE)</f>
        <v>128685000</v>
      </c>
      <c r="I28" s="103">
        <f>(VLOOKUP($A28,'Beef Animal Numbers'!$B$2:$I$52,8,FALSE) * 1000) * VLOOKUP($A28,'volatile solids and nex'!$B$4:$V$53,11,FALSE)</f>
        <v>73723000</v>
      </c>
      <c r="J28" s="102">
        <f>(VLOOKUP($A28,'Beef Animal Numbers'!$B$2:$E$52,2,FALSE) * 1000) * VLOOKUP($A28,'volatile solids and nex'!$B$4:$W$53,22,FALSE)</f>
        <v>320400</v>
      </c>
      <c r="K28" s="38">
        <f>(VLOOKUP($A28,'Beef Animal Numbers'!$B$2:$E$52,3,FALSE) * 1000) * VLOOKUP($A28,'volatile solids and nex'!$B$4:$W$53,16,FALSE)</f>
        <v>84252000</v>
      </c>
      <c r="L28" s="38">
        <f>(VLOOKUP($A28,'Beef Animal Numbers'!$B$2:$E$52,4,FALSE) * 1000) * VLOOKUP($A28,'volatile solids and nex'!$B$4:$W$53,20,FALSE)</f>
        <v>2940000</v>
      </c>
      <c r="M28" s="38">
        <f>(VLOOKUP($A28,'Beef Animal Numbers'!$B$2:$I$52,5,FALSE) * 1000) * VLOOKUP($A28,'volatile solids and nex'!$B$4:$W$53,17,FALSE)</f>
        <v>3772000</v>
      </c>
      <c r="N28" s="38">
        <f>(VLOOKUP($A28,'Beef Animal Numbers'!$B$2:$I$52,6,FALSE) * 1000) * VLOOKUP($A28,'volatile solids and nex'!$B$4:$W$53,19,FALSE)</f>
        <v>12644000</v>
      </c>
      <c r="O28" s="38">
        <f>(VLOOKUP($A28,'Beef Animal Numbers'!$B$2:$I$52,7,FALSE) * 1000) * VLOOKUP($A28,'volatile solids and nex'!$B$4:$W$53,18,FALSE)</f>
        <v>3795000</v>
      </c>
      <c r="P28" s="103">
        <f>(VLOOKUP($A28,'Beef Animal Numbers'!$B$2:$I$52,8,FALSE) * 1000) * VLOOKUP($A28,'volatile solids and nex'!$B$4:$W$53,19,FALSE)</f>
        <v>6206000</v>
      </c>
      <c r="Q28" s="33">
        <v>0.33</v>
      </c>
      <c r="R28" s="33">
        <v>0.17</v>
      </c>
      <c r="S28" s="104">
        <v>0.47</v>
      </c>
      <c r="T28" s="33">
        <f>VLOOKUP(A28,'avg ann temp, manure EFs'!$B$3:$J$52,6,FALSE)</f>
        <v>1</v>
      </c>
      <c r="U28" s="33">
        <v>100</v>
      </c>
      <c r="V28" s="34">
        <v>100</v>
      </c>
      <c r="W28" s="34">
        <f t="shared" si="13"/>
        <v>2899.8496912000001</v>
      </c>
      <c r="X28" s="34">
        <f t="shared" si="0"/>
        <v>1427561.3469599998</v>
      </c>
      <c r="Y28" s="34">
        <f t="shared" si="1"/>
        <v>71827.463400000008</v>
      </c>
      <c r="Z28" s="34">
        <f t="shared" si="2"/>
        <v>60925.194592</v>
      </c>
      <c r="AA28" s="34">
        <f t="shared" si="3"/>
        <v>79447.545475999999</v>
      </c>
      <c r="AB28" s="34">
        <f t="shared" si="4"/>
        <v>68066.386529999989</v>
      </c>
      <c r="AC28" s="34">
        <f t="shared" si="5"/>
        <v>38994.896174000001</v>
      </c>
      <c r="AD28" s="105">
        <f t="shared" si="6"/>
        <v>2.0111689752000004E-3</v>
      </c>
      <c r="AE28" s="105">
        <f t="shared" si="15"/>
        <v>4.6981066143849594E-2</v>
      </c>
      <c r="AF28" s="105">
        <f t="shared" si="14"/>
        <v>0.23109578642857143</v>
      </c>
      <c r="AG28" s="106">
        <f t="shared" si="7"/>
        <v>1.2243000000000002E-2</v>
      </c>
      <c r="AH28" s="107">
        <f t="shared" si="8"/>
        <v>6.9328735928571427E-3</v>
      </c>
      <c r="AI28" s="107">
        <f t="shared" si="9"/>
        <v>2.9995349999999998E-3</v>
      </c>
      <c r="AJ28" s="105">
        <f t="shared" si="10"/>
        <v>1.5242535000000001E-2</v>
      </c>
      <c r="AK28" s="105">
        <f t="shared" si="11"/>
        <v>0.23802866002142856</v>
      </c>
      <c r="AL28" s="108">
        <f t="shared" si="12"/>
        <v>0.30226343014047818</v>
      </c>
      <c r="AM28" s="45"/>
      <c r="AN28" s="45"/>
      <c r="AO28" s="45"/>
    </row>
    <row r="29" spans="1:41" ht="15.75" customHeight="1">
      <c r="A29" s="110" t="s">
        <v>62</v>
      </c>
      <c r="B29" s="45" t="s">
        <v>104</v>
      </c>
      <c r="C29" s="102">
        <f>(VLOOKUP($A29,'Beef Animal Numbers'!$B$2:$E$52,2,FALSE) * 1000) * VLOOKUP($A29,'volatile solids and nex'!$B$4:$V$53,13,FALSE)</f>
        <v>1416800</v>
      </c>
      <c r="D29" s="38">
        <f>(VLOOKUP($A29,'Beef Animal Numbers'!$B$2:$E$52,3,FALSE) * 1000) * VLOOKUP($A29,'volatile solids and nex'!$B$4:$V$53,8,FALSE)</f>
        <v>613647000</v>
      </c>
      <c r="E29" s="38">
        <f>(VLOOKUP($A29,'Beef Animal Numbers'!$B$2:$E$52,4,FALSE) * 1000) * VLOOKUP($A29,'volatile solids and nex'!$B$4:$V$53,12,FALSE)</f>
        <v>3350000</v>
      </c>
      <c r="F29" s="38">
        <f>(VLOOKUP($A29,'Beef Animal Numbers'!$B$2:$I$52,5,FALSE) * 1000) * VLOOKUP($A29,'volatile solids and nex'!$B$4:$V$53,9,FALSE)</f>
        <v>16485000</v>
      </c>
      <c r="G29" s="38">
        <f>(VLOOKUP($A29,'Beef Animal Numbers'!$B$2:$I$52,6,FALSE) * 1000) * VLOOKUP($A29,'volatile solids and nex'!$B$4:$V$53,11,FALSE)</f>
        <v>24115000</v>
      </c>
      <c r="H29" s="38">
        <f>(VLOOKUP($A29,'Beef Animal Numbers'!$B$2:$I$52,7,FALSE) * 1000) * VLOOKUP($A29,'volatile solids and nex'!$B$4:$V$53,10,FALSE)</f>
        <v>17514000</v>
      </c>
      <c r="I29" s="103">
        <f>(VLOOKUP($A29,'Beef Animal Numbers'!$B$2:$I$52,8,FALSE) * 1000) * VLOOKUP($A29,'volatile solids and nex'!$B$4:$V$53,11,FALSE)</f>
        <v>7579000</v>
      </c>
      <c r="J29" s="102">
        <f>(VLOOKUP($A29,'Beef Animal Numbers'!$B$2:$E$52,2,FALSE) * 1000) * VLOOKUP($A29,'volatile solids and nex'!$B$4:$W$53,22,FALSE)</f>
        <v>82800</v>
      </c>
      <c r="K29" s="38">
        <f>(VLOOKUP($A29,'Beef Animal Numbers'!$B$2:$E$52,3,FALSE) * 1000) * VLOOKUP($A29,'volatile solids and nex'!$B$4:$W$53,16,FALSE)</f>
        <v>26937000</v>
      </c>
      <c r="L29" s="38">
        <f>(VLOOKUP($A29,'Beef Animal Numbers'!$B$2:$E$52,4,FALSE) * 1000) * VLOOKUP($A29,'volatile solids and nex'!$B$4:$W$53,20,FALSE)</f>
        <v>300000</v>
      </c>
      <c r="M29" s="38">
        <f>(VLOOKUP($A29,'Beef Animal Numbers'!$B$2:$I$52,5,FALSE) * 1000) * VLOOKUP($A29,'volatile solids and nex'!$B$4:$W$53,17,FALSE)</f>
        <v>750000</v>
      </c>
      <c r="N29" s="38">
        <f>(VLOOKUP($A29,'Beef Animal Numbers'!$B$2:$I$52,6,FALSE) * 1000) * VLOOKUP($A29,'volatile solids and nex'!$B$4:$W$53,19,FALSE)</f>
        <v>2030000</v>
      </c>
      <c r="O29" s="38">
        <f>(VLOOKUP($A29,'Beef Animal Numbers'!$B$2:$I$52,7,FALSE) * 1000) * VLOOKUP($A29,'volatile solids and nex'!$B$4:$W$53,18,FALSE)</f>
        <v>738000</v>
      </c>
      <c r="P29" s="103">
        <f>(VLOOKUP($A29,'Beef Animal Numbers'!$B$2:$I$52,8,FALSE) * 1000) * VLOOKUP($A29,'volatile solids and nex'!$B$4:$W$53,19,FALSE)</f>
        <v>638000</v>
      </c>
      <c r="Q29" s="33">
        <v>0.33</v>
      </c>
      <c r="R29" s="33">
        <v>0.17</v>
      </c>
      <c r="S29" s="104">
        <v>0.47</v>
      </c>
      <c r="T29" s="33">
        <f>VLOOKUP(A29,'avg ann temp, manure EFs'!$B$3:$J$52,6,FALSE)</f>
        <v>1.5</v>
      </c>
      <c r="U29" s="33">
        <v>100</v>
      </c>
      <c r="V29" s="34">
        <v>100</v>
      </c>
      <c r="W29" s="34">
        <f t="shared" si="13"/>
        <v>749.39935839999998</v>
      </c>
      <c r="X29" s="34">
        <f t="shared" si="0"/>
        <v>324581.21688600001</v>
      </c>
      <c r="Y29" s="34">
        <f t="shared" si="1"/>
        <v>10977.615</v>
      </c>
      <c r="Z29" s="34">
        <f t="shared" si="2"/>
        <v>8719.5429299999996</v>
      </c>
      <c r="AA29" s="34">
        <f t="shared" si="3"/>
        <v>12755.339869999998</v>
      </c>
      <c r="AB29" s="34">
        <f t="shared" si="4"/>
        <v>9263.8201319999989</v>
      </c>
      <c r="AC29" s="34">
        <f t="shared" si="5"/>
        <v>4008.8211019999994</v>
      </c>
      <c r="AD29" s="105">
        <f t="shared" si="6"/>
        <v>3.0737322000000004E-4</v>
      </c>
      <c r="AE29" s="105">
        <f t="shared" si="15"/>
        <v>1.0082187927795203E-2</v>
      </c>
      <c r="AF29" s="105">
        <f t="shared" si="14"/>
        <v>6.4912469285714286E-2</v>
      </c>
      <c r="AG29" s="106">
        <f t="shared" si="7"/>
        <v>1.2492857142857143E-3</v>
      </c>
      <c r="AH29" s="107">
        <f t="shared" si="8"/>
        <v>1.9473740785714284E-3</v>
      </c>
      <c r="AI29" s="107">
        <f t="shared" si="9"/>
        <v>3.06075E-4</v>
      </c>
      <c r="AJ29" s="105">
        <f t="shared" si="10"/>
        <v>1.5553607142857143E-3</v>
      </c>
      <c r="AK29" s="105">
        <f t="shared" si="11"/>
        <v>6.6859843364285715E-2</v>
      </c>
      <c r="AL29" s="108">
        <f t="shared" si="12"/>
        <v>7.8804765226366646E-2</v>
      </c>
      <c r="AM29" s="45"/>
      <c r="AN29" s="45"/>
      <c r="AO29" s="45"/>
    </row>
    <row r="30" spans="1:41" ht="15.75" customHeight="1">
      <c r="A30" s="110" t="s">
        <v>63</v>
      </c>
      <c r="B30" s="45" t="s">
        <v>104</v>
      </c>
      <c r="C30" s="102">
        <f>(VLOOKUP($A30,'Beef Animal Numbers'!$B$2:$E$52,2,FALSE) * 1000) * VLOOKUP($A30,'volatile solids and nex'!$B$4:$V$53,13,FALSE)</f>
        <v>3819200</v>
      </c>
      <c r="D30" s="38">
        <f>(VLOOKUP($A30,'Beef Animal Numbers'!$B$2:$E$52,3,FALSE) * 1000) * VLOOKUP($A30,'volatile solids and nex'!$B$4:$V$53,8,FALSE)</f>
        <v>1579065000</v>
      </c>
      <c r="E30" s="38">
        <f>(VLOOKUP($A30,'Beef Animal Numbers'!$B$2:$E$52,4,FALSE) * 1000) * VLOOKUP($A30,'volatile solids and nex'!$B$4:$V$53,12,FALSE)</f>
        <v>31584000</v>
      </c>
      <c r="F30" s="38">
        <f>(VLOOKUP($A30,'Beef Animal Numbers'!$B$2:$I$52,5,FALSE) * 1000) * VLOOKUP($A30,'volatile solids and nex'!$B$4:$V$53,9,FALSE)</f>
        <v>43860000</v>
      </c>
      <c r="G30" s="38">
        <f>(VLOOKUP($A30,'Beef Animal Numbers'!$B$2:$I$52,6,FALSE) * 1000) * VLOOKUP($A30,'volatile solids and nex'!$B$4:$V$53,11,FALSE)</f>
        <v>70278000</v>
      </c>
      <c r="H30" s="38">
        <f>(VLOOKUP($A30,'Beef Animal Numbers'!$B$2:$I$52,7,FALSE) * 1000) * VLOOKUP($A30,'volatile solids and nex'!$B$4:$V$53,10,FALSE)</f>
        <v>116676000</v>
      </c>
      <c r="I30" s="103">
        <f>(VLOOKUP($A30,'Beef Animal Numbers'!$B$2:$I$52,8,FALSE) * 1000) * VLOOKUP($A30,'volatile solids and nex'!$B$4:$V$53,11,FALSE)</f>
        <v>73723000</v>
      </c>
      <c r="J30" s="102">
        <f>(VLOOKUP($A30,'Beef Animal Numbers'!$B$2:$E$52,2,FALSE) * 1000) * VLOOKUP($A30,'volatile solids and nex'!$B$4:$W$53,22,FALSE)</f>
        <v>223200</v>
      </c>
      <c r="K30" s="38">
        <f>(VLOOKUP($A30,'Beef Animal Numbers'!$B$2:$E$52,3,FALSE) * 1000) * VLOOKUP($A30,'volatile solids and nex'!$B$4:$W$53,16,FALSE)</f>
        <v>74625000</v>
      </c>
      <c r="L30" s="38">
        <f>(VLOOKUP($A30,'Beef Animal Numbers'!$B$2:$E$52,4,FALSE) * 1000) * VLOOKUP($A30,'volatile solids and nex'!$B$4:$W$53,20,FALSE)</f>
        <v>2820000</v>
      </c>
      <c r="M30" s="38">
        <f>(VLOOKUP($A30,'Beef Animal Numbers'!$B$2:$I$52,5,FALSE) * 1000) * VLOOKUP($A30,'volatile solids and nex'!$B$4:$W$53,17,FALSE)</f>
        <v>2150000</v>
      </c>
      <c r="N30" s="38">
        <f>(VLOOKUP($A30,'Beef Animal Numbers'!$B$2:$I$52,6,FALSE) * 1000) * VLOOKUP($A30,'volatile solids and nex'!$B$4:$W$53,19,FALSE)</f>
        <v>6018000</v>
      </c>
      <c r="O30" s="38">
        <f>(VLOOKUP($A30,'Beef Animal Numbers'!$B$2:$I$52,7,FALSE) * 1000) * VLOOKUP($A30,'volatile solids and nex'!$B$4:$W$53,18,FALSE)</f>
        <v>5418000</v>
      </c>
      <c r="P30" s="103">
        <f>(VLOOKUP($A30,'Beef Animal Numbers'!$B$2:$I$52,8,FALSE) * 1000) * VLOOKUP($A30,'volatile solids and nex'!$B$4:$W$53,19,FALSE)</f>
        <v>6313000</v>
      </c>
      <c r="Q30" s="33">
        <v>0.33</v>
      </c>
      <c r="R30" s="33">
        <v>0.17</v>
      </c>
      <c r="S30" s="104">
        <v>0.47</v>
      </c>
      <c r="T30" s="33">
        <f>VLOOKUP(A30,'avg ann temp, manure EFs'!$B$3:$J$52,6,FALSE)</f>
        <v>1</v>
      </c>
      <c r="U30" s="33">
        <v>100</v>
      </c>
      <c r="V30" s="34">
        <v>100</v>
      </c>
      <c r="W30" s="34">
        <f t="shared" si="13"/>
        <v>2020.1200096</v>
      </c>
      <c r="X30" s="34">
        <f t="shared" si="0"/>
        <v>835227.48297000001</v>
      </c>
      <c r="Y30" s="34">
        <f t="shared" si="1"/>
        <v>68998.406400000007</v>
      </c>
      <c r="Z30" s="34">
        <f t="shared" si="2"/>
        <v>23199.220679999999</v>
      </c>
      <c r="AA30" s="34">
        <f t="shared" si="3"/>
        <v>37172.704763999995</v>
      </c>
      <c r="AB30" s="34">
        <f t="shared" si="4"/>
        <v>61714.370087999996</v>
      </c>
      <c r="AC30" s="34">
        <f t="shared" si="5"/>
        <v>38994.896174000001</v>
      </c>
      <c r="AD30" s="105">
        <f t="shared" si="6"/>
        <v>1.9319553792000001E-3</v>
      </c>
      <c r="AE30" s="105">
        <f t="shared" si="15"/>
        <v>2.7953206251196801E-2</v>
      </c>
      <c r="AF30" s="105">
        <f t="shared" si="14"/>
        <v>0.19727720571428572</v>
      </c>
      <c r="AG30" s="106">
        <f t="shared" si="7"/>
        <v>1.1743285714285713E-2</v>
      </c>
      <c r="AH30" s="107">
        <f t="shared" si="8"/>
        <v>5.9183161714285717E-3</v>
      </c>
      <c r="AI30" s="107">
        <f t="shared" si="9"/>
        <v>2.8771049999999996E-3</v>
      </c>
      <c r="AJ30" s="105">
        <f t="shared" si="10"/>
        <v>1.4620390714285713E-2</v>
      </c>
      <c r="AK30" s="105">
        <f t="shared" si="11"/>
        <v>0.2031955218857143</v>
      </c>
      <c r="AL30" s="108">
        <f t="shared" si="12"/>
        <v>0.24770107423039681</v>
      </c>
      <c r="AM30" s="45"/>
      <c r="AN30" s="45"/>
      <c r="AO30" s="45"/>
    </row>
    <row r="31" spans="1:41" ht="15.75" customHeight="1">
      <c r="A31" s="110" t="s">
        <v>64</v>
      </c>
      <c r="B31" s="45" t="s">
        <v>104</v>
      </c>
      <c r="C31" s="102">
        <f>(VLOOKUP($A31,'Beef Animal Numbers'!$B$2:$E$52,2,FALSE) * 1000) * VLOOKUP($A31,'volatile solids and nex'!$B$4:$V$53,13,FALSE)</f>
        <v>7384300</v>
      </c>
      <c r="D31" s="38">
        <f>(VLOOKUP($A31,'Beef Animal Numbers'!$B$2:$E$52,3,FALSE) * 1000) * VLOOKUP($A31,'volatile solids and nex'!$B$4:$V$53,8,FALSE)</f>
        <v>3050214000</v>
      </c>
      <c r="E31" s="38">
        <f>(VLOOKUP($A31,'Beef Animal Numbers'!$B$2:$E$52,4,FALSE) * 1000) * VLOOKUP($A31,'volatile solids and nex'!$B$4:$V$53,12,FALSE)</f>
        <v>1807674000</v>
      </c>
      <c r="F31" s="38">
        <f>(VLOOKUP($A31,'Beef Animal Numbers'!$B$2:$I$52,5,FALSE) * 1000) * VLOOKUP($A31,'volatile solids and nex'!$B$4:$V$53,9,FALSE)</f>
        <v>86217000</v>
      </c>
      <c r="G31" s="38">
        <f>(VLOOKUP($A31,'Beef Animal Numbers'!$B$2:$I$52,6,FALSE) * 1000) * VLOOKUP($A31,'volatile solids and nex'!$B$4:$V$53,11,FALSE)</f>
        <v>142623000</v>
      </c>
      <c r="H31" s="38">
        <f>(VLOOKUP($A31,'Beef Animal Numbers'!$B$2:$I$52,7,FALSE) * 1000) * VLOOKUP($A31,'volatile solids and nex'!$B$4:$V$53,10,FALSE)</f>
        <v>1013044000</v>
      </c>
      <c r="I31" s="103">
        <f>(VLOOKUP($A31,'Beef Animal Numbers'!$B$2:$I$52,8,FALSE) * 1000) * VLOOKUP($A31,'volatile solids and nex'!$B$4:$V$53,11,FALSE)</f>
        <v>482300000</v>
      </c>
      <c r="J31" s="102">
        <f>(VLOOKUP($A31,'Beef Animal Numbers'!$B$2:$E$52,2,FALSE) * 1000) * VLOOKUP($A31,'volatile solids and nex'!$B$4:$W$53,22,FALSE)</f>
        <v>431550</v>
      </c>
      <c r="K31" s="38">
        <f>(VLOOKUP($A31,'Beef Animal Numbers'!$B$2:$E$52,3,FALSE) * 1000) * VLOOKUP($A31,'volatile solids and nex'!$B$4:$W$53,16,FALSE)</f>
        <v>144150000</v>
      </c>
      <c r="L31" s="38">
        <f>(VLOOKUP($A31,'Beef Animal Numbers'!$B$2:$E$52,4,FALSE) * 1000) * VLOOKUP($A31,'volatile solids and nex'!$B$4:$W$53,20,FALSE)</f>
        <v>161640000</v>
      </c>
      <c r="M31" s="38">
        <f>(VLOOKUP($A31,'Beef Animal Numbers'!$B$2:$I$52,5,FALSE) * 1000) * VLOOKUP($A31,'volatile solids and nex'!$B$4:$W$53,17,FALSE)</f>
        <v>4176000</v>
      </c>
      <c r="N31" s="38">
        <f>(VLOOKUP($A31,'Beef Animal Numbers'!$B$2:$I$52,6,FALSE) * 1000) * VLOOKUP($A31,'volatile solids and nex'!$B$4:$W$53,19,FALSE)</f>
        <v>12213000</v>
      </c>
      <c r="O31" s="38">
        <f>(VLOOKUP($A31,'Beef Animal Numbers'!$B$2:$I$52,7,FALSE) * 1000) * VLOOKUP($A31,'volatile solids and nex'!$B$4:$W$53,18,FALSE)</f>
        <v>47042000</v>
      </c>
      <c r="P31" s="103">
        <f>(VLOOKUP($A31,'Beef Animal Numbers'!$B$2:$I$52,8,FALSE) * 1000) * VLOOKUP($A31,'volatile solids and nex'!$B$4:$W$53,19,FALSE)</f>
        <v>41300000</v>
      </c>
      <c r="Q31" s="33">
        <v>0.33</v>
      </c>
      <c r="R31" s="33">
        <v>0.17</v>
      </c>
      <c r="S31" s="104">
        <v>0.47</v>
      </c>
      <c r="T31" s="33">
        <f>VLOOKUP(A31,'avg ann temp, manure EFs'!$B$3:$J$52,6,FALSE)</f>
        <v>1</v>
      </c>
      <c r="U31" s="33">
        <v>100</v>
      </c>
      <c r="V31" s="34">
        <v>100</v>
      </c>
      <c r="W31" s="34">
        <f t="shared" si="13"/>
        <v>3905.8368734000005</v>
      </c>
      <c r="X31" s="34">
        <f t="shared" si="0"/>
        <v>1613374.0927319997</v>
      </c>
      <c r="Y31" s="34">
        <f t="shared" si="1"/>
        <v>3949044.6204000004</v>
      </c>
      <c r="Z31" s="34">
        <f t="shared" si="2"/>
        <v>45603.447546000003</v>
      </c>
      <c r="AA31" s="34">
        <f t="shared" si="3"/>
        <v>75438.724373999998</v>
      </c>
      <c r="AB31" s="34">
        <f t="shared" si="4"/>
        <v>535837.46727199992</v>
      </c>
      <c r="AC31" s="34">
        <f t="shared" si="5"/>
        <v>255106.79740000001</v>
      </c>
      <c r="AD31" s="105">
        <f t="shared" si="6"/>
        <v>0.1105732493712</v>
      </c>
      <c r="AE31" s="105">
        <f t="shared" si="15"/>
        <v>7.0819458253527173E-2</v>
      </c>
      <c r="AF31" s="105">
        <f t="shared" si="14"/>
        <v>0.5191043451785714</v>
      </c>
      <c r="AG31" s="106">
        <f t="shared" si="7"/>
        <v>0.67311514285714291</v>
      </c>
      <c r="AH31" s="107">
        <f t="shared" si="8"/>
        <v>1.5573130355357142E-2</v>
      </c>
      <c r="AI31" s="107">
        <f t="shared" si="9"/>
        <v>0.16491321</v>
      </c>
      <c r="AJ31" s="105">
        <f t="shared" si="10"/>
        <v>0.83802835285714294</v>
      </c>
      <c r="AK31" s="105">
        <f t="shared" si="11"/>
        <v>0.53467747553392853</v>
      </c>
      <c r="AL31" s="108">
        <f t="shared" si="12"/>
        <v>1.5540985360157986</v>
      </c>
      <c r="AM31" s="45"/>
      <c r="AN31" s="45"/>
      <c r="AO31" s="45"/>
    </row>
    <row r="32" spans="1:41" ht="15.75" customHeight="1">
      <c r="A32" s="110" t="s">
        <v>65</v>
      </c>
      <c r="B32" s="45" t="s">
        <v>104</v>
      </c>
      <c r="C32" s="102">
        <f>(VLOOKUP($A32,'Beef Animal Numbers'!$B$2:$E$52,2,FALSE) * 1000) * VLOOKUP($A32,'volatile solids and nex'!$B$4:$V$53,13,FALSE)</f>
        <v>15400</v>
      </c>
      <c r="D32" s="38">
        <f>(VLOOKUP($A32,'Beef Animal Numbers'!$B$2:$E$52,3,FALSE) * 1000) * VLOOKUP($A32,'volatile solids and nex'!$B$4:$V$53,8,FALSE)</f>
        <v>6688000</v>
      </c>
      <c r="E32" s="38">
        <f>(VLOOKUP($A32,'Beef Animal Numbers'!$B$2:$E$52,4,FALSE) * 1000) * VLOOKUP($A32,'volatile solids and nex'!$B$4:$V$53,12,FALSE)</f>
        <v>0</v>
      </c>
      <c r="F32" s="38">
        <f>(VLOOKUP($A32,'Beef Animal Numbers'!$B$2:$I$52,5,FALSE) * 1000) * VLOOKUP($A32,'volatile solids and nex'!$B$4:$V$53,9,FALSE)</f>
        <v>0</v>
      </c>
      <c r="G32" s="38">
        <f>(VLOOKUP($A32,'Beef Animal Numbers'!$B$2:$I$52,6,FALSE) * 1000) * VLOOKUP($A32,'volatile solids and nex'!$B$4:$V$53,11,FALSE)</f>
        <v>689000</v>
      </c>
      <c r="H32" s="38">
        <f>(VLOOKUP($A32,'Beef Animal Numbers'!$B$2:$I$52,7,FALSE) * 1000) * VLOOKUP($A32,'volatile solids and nex'!$B$4:$V$53,10,FALSE)</f>
        <v>979000</v>
      </c>
      <c r="I32" s="103">
        <f>(VLOOKUP($A32,'Beef Animal Numbers'!$B$2:$I$52,8,FALSE) * 1000) * VLOOKUP($A32,'volatile solids and nex'!$B$4:$V$53,11,FALSE)</f>
        <v>0</v>
      </c>
      <c r="J32" s="102">
        <f>(VLOOKUP($A32,'Beef Animal Numbers'!$B$2:$E$52,2,FALSE) * 1000) * VLOOKUP($A32,'volatile solids and nex'!$B$4:$W$53,22,FALSE)</f>
        <v>900</v>
      </c>
      <c r="K32" s="38">
        <f>(VLOOKUP($A32,'Beef Animal Numbers'!$B$2:$E$52,3,FALSE) * 1000) * VLOOKUP($A32,'volatile solids and nex'!$B$4:$W$53,16,FALSE)</f>
        <v>296000</v>
      </c>
      <c r="L32" s="38">
        <f>(VLOOKUP($A32,'Beef Animal Numbers'!$B$2:$E$52,4,FALSE) * 1000) * VLOOKUP($A32,'volatile solids and nex'!$B$4:$W$53,20,FALSE)</f>
        <v>0</v>
      </c>
      <c r="M32" s="38">
        <f>(VLOOKUP($A32,'Beef Animal Numbers'!$B$2:$I$52,5,FALSE) * 1000) * VLOOKUP($A32,'volatile solids and nex'!$B$4:$W$53,17,FALSE)</f>
        <v>0</v>
      </c>
      <c r="N32" s="38">
        <f>(VLOOKUP($A32,'Beef Animal Numbers'!$B$2:$I$52,6,FALSE) * 1000) * VLOOKUP($A32,'volatile solids and nex'!$B$4:$W$53,19,FALSE)</f>
        <v>58000</v>
      </c>
      <c r="O32" s="38">
        <f>(VLOOKUP($A32,'Beef Animal Numbers'!$B$2:$I$52,7,FALSE) * 1000) * VLOOKUP($A32,'volatile solids and nex'!$B$4:$W$53,18,FALSE)</f>
        <v>42000</v>
      </c>
      <c r="P32" s="103">
        <f>(VLOOKUP($A32,'Beef Animal Numbers'!$B$2:$I$52,8,FALSE) * 1000) * VLOOKUP($A32,'volatile solids and nex'!$B$4:$W$53,19,FALSE)</f>
        <v>0</v>
      </c>
      <c r="Q32" s="33">
        <v>0.33</v>
      </c>
      <c r="R32" s="33">
        <v>0.17</v>
      </c>
      <c r="S32" s="104">
        <v>0.47</v>
      </c>
      <c r="T32" s="33">
        <f>VLOOKUP(A32,'avg ann temp, manure EFs'!$B$3:$J$52,6,FALSE)</f>
        <v>1</v>
      </c>
      <c r="U32" s="33">
        <v>100</v>
      </c>
      <c r="V32" s="34">
        <v>100</v>
      </c>
      <c r="W32" s="34">
        <f t="shared" si="13"/>
        <v>8.1456452000000006</v>
      </c>
      <c r="X32" s="34">
        <f t="shared" si="0"/>
        <v>3537.5373439999994</v>
      </c>
      <c r="Y32" s="34">
        <f t="shared" si="1"/>
        <v>0</v>
      </c>
      <c r="Z32" s="34">
        <f t="shared" si="2"/>
        <v>0</v>
      </c>
      <c r="AA32" s="34">
        <f t="shared" si="3"/>
        <v>364.43828200000002</v>
      </c>
      <c r="AB32" s="34">
        <f t="shared" si="4"/>
        <v>517.83030199999996</v>
      </c>
      <c r="AC32" s="34">
        <f t="shared" si="5"/>
        <v>0</v>
      </c>
      <c r="AD32" s="105">
        <f t="shared" si="6"/>
        <v>0</v>
      </c>
      <c r="AE32" s="105">
        <f t="shared" si="15"/>
        <v>1.2398264404959997E-4</v>
      </c>
      <c r="AF32" s="105">
        <f t="shared" si="14"/>
        <v>8.2640250000000001E-4</v>
      </c>
      <c r="AG32" s="106">
        <f t="shared" si="7"/>
        <v>0</v>
      </c>
      <c r="AH32" s="107">
        <f t="shared" si="8"/>
        <v>2.4792074999999998E-5</v>
      </c>
      <c r="AI32" s="107">
        <f t="shared" si="9"/>
        <v>0</v>
      </c>
      <c r="AJ32" s="105">
        <f t="shared" si="10"/>
        <v>0</v>
      </c>
      <c r="AK32" s="105">
        <f t="shared" si="11"/>
        <v>8.5119457499999997E-4</v>
      </c>
      <c r="AL32" s="108">
        <f t="shared" si="12"/>
        <v>9.7517721904959989E-4</v>
      </c>
      <c r="AM32" s="45"/>
      <c r="AN32" s="45"/>
      <c r="AO32" s="45"/>
    </row>
    <row r="33" spans="1:41" ht="15.75" customHeight="1">
      <c r="A33" s="110" t="s">
        <v>66</v>
      </c>
      <c r="B33" s="45" t="s">
        <v>104</v>
      </c>
      <c r="C33" s="102">
        <f>(VLOOKUP($A33,'Beef Animal Numbers'!$B$2:$E$52,2,FALSE) * 1000) * VLOOKUP($A33,'volatile solids and nex'!$B$4:$V$53,13,FALSE)</f>
        <v>38500</v>
      </c>
      <c r="D33" s="38">
        <f>(VLOOKUP($A33,'Beef Animal Numbers'!$B$2:$E$52,3,FALSE) * 1000) * VLOOKUP($A33,'volatile solids and nex'!$B$4:$V$53,8,FALSE)</f>
        <v>15048000</v>
      </c>
      <c r="E33" s="38">
        <f>(VLOOKUP($A33,'Beef Animal Numbers'!$B$2:$E$52,4,FALSE) * 1000) * VLOOKUP($A33,'volatile solids and nex'!$B$4:$V$53,12,FALSE)</f>
        <v>0</v>
      </c>
      <c r="F33" s="38">
        <f>(VLOOKUP($A33,'Beef Animal Numbers'!$B$2:$I$52,5,FALSE) * 1000) * VLOOKUP($A33,'volatile solids and nex'!$B$4:$V$53,9,FALSE)</f>
        <v>1099000</v>
      </c>
      <c r="G33" s="38">
        <f>(VLOOKUP($A33,'Beef Animal Numbers'!$B$2:$I$52,6,FALSE) * 1000) * VLOOKUP($A33,'volatile solids and nex'!$B$4:$V$53,11,FALSE)</f>
        <v>689000</v>
      </c>
      <c r="H33" s="38">
        <f>(VLOOKUP($A33,'Beef Animal Numbers'!$B$2:$I$52,7,FALSE) * 1000) * VLOOKUP($A33,'volatile solids and nex'!$B$4:$V$53,10,FALSE)</f>
        <v>979000</v>
      </c>
      <c r="I33" s="103">
        <f>(VLOOKUP($A33,'Beef Animal Numbers'!$B$2:$I$52,8,FALSE) * 1000) * VLOOKUP($A33,'volatile solids and nex'!$B$4:$V$53,11,FALSE)</f>
        <v>689000</v>
      </c>
      <c r="J33" s="102">
        <f>(VLOOKUP($A33,'Beef Animal Numbers'!$B$2:$E$52,2,FALSE) * 1000) * VLOOKUP($A33,'volatile solids and nex'!$B$4:$W$53,22,FALSE)</f>
        <v>2250</v>
      </c>
      <c r="K33" s="38">
        <f>(VLOOKUP($A33,'Beef Animal Numbers'!$B$2:$E$52,3,FALSE) * 1000) * VLOOKUP($A33,'volatile solids and nex'!$B$4:$W$53,16,FALSE)</f>
        <v>666000</v>
      </c>
      <c r="L33" s="38">
        <f>(VLOOKUP($A33,'Beef Animal Numbers'!$B$2:$E$52,4,FALSE) * 1000) * VLOOKUP($A33,'volatile solids and nex'!$B$4:$W$53,20,FALSE)</f>
        <v>0</v>
      </c>
      <c r="M33" s="38">
        <f>(VLOOKUP($A33,'Beef Animal Numbers'!$B$2:$I$52,5,FALSE) * 1000) * VLOOKUP($A33,'volatile solids and nex'!$B$4:$W$53,17,FALSE)</f>
        <v>51000</v>
      </c>
      <c r="N33" s="38">
        <f>(VLOOKUP($A33,'Beef Animal Numbers'!$B$2:$I$52,6,FALSE) * 1000) * VLOOKUP($A33,'volatile solids and nex'!$B$4:$W$53,19,FALSE)</f>
        <v>58000</v>
      </c>
      <c r="O33" s="38">
        <f>(VLOOKUP($A33,'Beef Animal Numbers'!$B$2:$I$52,7,FALSE) * 1000) * VLOOKUP($A33,'volatile solids and nex'!$B$4:$W$53,18,FALSE)</f>
        <v>42000</v>
      </c>
      <c r="P33" s="103">
        <f>(VLOOKUP($A33,'Beef Animal Numbers'!$B$2:$I$52,8,FALSE) * 1000) * VLOOKUP($A33,'volatile solids and nex'!$B$4:$W$53,19,FALSE)</f>
        <v>58000</v>
      </c>
      <c r="Q33" s="33">
        <v>0.33</v>
      </c>
      <c r="R33" s="33">
        <v>0.17</v>
      </c>
      <c r="S33" s="104">
        <v>0.47</v>
      </c>
      <c r="T33" s="33">
        <f>VLOOKUP(A33,'avg ann temp, manure EFs'!$B$3:$J$52,6,FALSE)</f>
        <v>1</v>
      </c>
      <c r="U33" s="33">
        <v>100</v>
      </c>
      <c r="V33" s="34">
        <v>100</v>
      </c>
      <c r="W33" s="34">
        <f t="shared" si="13"/>
        <v>20.364112999999996</v>
      </c>
      <c r="X33" s="34">
        <f t="shared" si="0"/>
        <v>7959.4590239999998</v>
      </c>
      <c r="Y33" s="34">
        <f t="shared" si="1"/>
        <v>0</v>
      </c>
      <c r="Z33" s="34">
        <f t="shared" si="2"/>
        <v>581.30286199999989</v>
      </c>
      <c r="AA33" s="34">
        <f t="shared" si="3"/>
        <v>364.43828200000002</v>
      </c>
      <c r="AB33" s="34">
        <f t="shared" si="4"/>
        <v>517.83030199999996</v>
      </c>
      <c r="AC33" s="34">
        <f t="shared" si="5"/>
        <v>364.43828200000002</v>
      </c>
      <c r="AD33" s="105">
        <f t="shared" si="6"/>
        <v>0</v>
      </c>
      <c r="AE33" s="105">
        <f t="shared" si="15"/>
        <v>2.7461932021999997E-4</v>
      </c>
      <c r="AF33" s="105">
        <f t="shared" si="14"/>
        <v>1.8265598214285714E-3</v>
      </c>
      <c r="AG33" s="106">
        <f t="shared" si="7"/>
        <v>0</v>
      </c>
      <c r="AH33" s="107">
        <f t="shared" si="8"/>
        <v>5.4796794642857147E-5</v>
      </c>
      <c r="AI33" s="107">
        <f t="shared" si="9"/>
        <v>0</v>
      </c>
      <c r="AJ33" s="105">
        <f t="shared" si="10"/>
        <v>0</v>
      </c>
      <c r="AK33" s="105">
        <f t="shared" si="11"/>
        <v>1.8813566160714285E-3</v>
      </c>
      <c r="AL33" s="108">
        <f t="shared" si="12"/>
        <v>2.1559759362914286E-3</v>
      </c>
      <c r="AM33" s="45"/>
      <c r="AN33" s="45"/>
      <c r="AO33" s="45"/>
    </row>
    <row r="34" spans="1:41" ht="15.75" customHeight="1">
      <c r="A34" s="110" t="s">
        <v>67</v>
      </c>
      <c r="B34" s="45" t="s">
        <v>104</v>
      </c>
      <c r="C34" s="102">
        <f>(VLOOKUP($A34,'Beef Animal Numbers'!$B$2:$E$52,2,FALSE) * 1000) * VLOOKUP($A34,'volatile solids and nex'!$B$4:$V$53,13,FALSE)</f>
        <v>1840300</v>
      </c>
      <c r="D34" s="38">
        <f>(VLOOKUP($A34,'Beef Animal Numbers'!$B$2:$E$52,3,FALSE) * 1000) * VLOOKUP($A34,'volatile solids and nex'!$B$4:$V$53,8,FALSE)</f>
        <v>907200000</v>
      </c>
      <c r="E34" s="38">
        <f>(VLOOKUP($A34,'Beef Animal Numbers'!$B$2:$E$52,4,FALSE) * 1000) * VLOOKUP($A34,'volatile solids and nex'!$B$4:$V$53,12,FALSE)</f>
        <v>9394000</v>
      </c>
      <c r="F34" s="38">
        <f>(VLOOKUP($A34,'Beef Animal Numbers'!$B$2:$I$52,5,FALSE) * 1000) * VLOOKUP($A34,'volatile solids and nex'!$B$4:$V$53,9,FALSE)</f>
        <v>23522000</v>
      </c>
      <c r="G34" s="38">
        <f>(VLOOKUP($A34,'Beef Animal Numbers'!$B$2:$I$52,6,FALSE) * 1000) * VLOOKUP($A34,'volatile solids and nex'!$B$4:$V$53,11,FALSE)</f>
        <v>31005000</v>
      </c>
      <c r="H34" s="38">
        <f>(VLOOKUP($A34,'Beef Animal Numbers'!$B$2:$I$52,7,FALSE) * 1000) * VLOOKUP($A34,'volatile solids and nex'!$B$4:$V$53,10,FALSE)</f>
        <v>51474000</v>
      </c>
      <c r="I34" s="103">
        <f>(VLOOKUP($A34,'Beef Animal Numbers'!$B$2:$I$52,8,FALSE) * 1000) * VLOOKUP($A34,'volatile solids and nex'!$B$4:$V$53,11,FALSE)</f>
        <v>25493000</v>
      </c>
      <c r="J34" s="102">
        <f>(VLOOKUP($A34,'Beef Animal Numbers'!$B$2:$E$52,2,FALSE) * 1000) * VLOOKUP($A34,'volatile solids and nex'!$B$4:$W$53,22,FALSE)</f>
        <v>107550</v>
      </c>
      <c r="K34" s="38">
        <f>(VLOOKUP($A34,'Beef Animal Numbers'!$B$2:$E$52,3,FALSE) * 1000) * VLOOKUP($A34,'volatile solids and nex'!$B$4:$W$53,16,FALSE)</f>
        <v>28320000</v>
      </c>
      <c r="L34" s="38">
        <f>(VLOOKUP($A34,'Beef Animal Numbers'!$B$2:$E$52,4,FALSE) * 1000) * VLOOKUP($A34,'volatile solids and nex'!$B$4:$W$53,20,FALSE)</f>
        <v>840000</v>
      </c>
      <c r="M34" s="38">
        <f>(VLOOKUP($A34,'Beef Animal Numbers'!$B$2:$I$52,5,FALSE) * 1000) * VLOOKUP($A34,'volatile solids and nex'!$B$4:$W$53,17,FALSE)</f>
        <v>760000</v>
      </c>
      <c r="N34" s="38">
        <f>(VLOOKUP($A34,'Beef Animal Numbers'!$B$2:$I$52,6,FALSE) * 1000) * VLOOKUP($A34,'volatile solids and nex'!$B$4:$W$53,19,FALSE)</f>
        <v>2655000</v>
      </c>
      <c r="O34" s="38">
        <f>(VLOOKUP($A34,'Beef Animal Numbers'!$B$2:$I$52,7,FALSE) * 1000) * VLOOKUP($A34,'volatile solids and nex'!$B$4:$W$53,18,FALSE)</f>
        <v>1518000</v>
      </c>
      <c r="P34" s="103">
        <f>(VLOOKUP($A34,'Beef Animal Numbers'!$B$2:$I$52,8,FALSE) * 1000) * VLOOKUP($A34,'volatile solids and nex'!$B$4:$W$53,19,FALSE)</f>
        <v>2183000</v>
      </c>
      <c r="Q34" s="33">
        <v>0.33</v>
      </c>
      <c r="R34" s="33">
        <v>0.17</v>
      </c>
      <c r="S34" s="104">
        <v>0.47</v>
      </c>
      <c r="T34" s="33">
        <f>VLOOKUP(A34,'avg ann temp, manure EFs'!$B$3:$J$52,6,FALSE)</f>
        <v>1</v>
      </c>
      <c r="U34" s="33">
        <v>100</v>
      </c>
      <c r="V34" s="34">
        <v>100</v>
      </c>
      <c r="W34" s="34">
        <f t="shared" si="13"/>
        <v>973.40460139999993</v>
      </c>
      <c r="X34" s="34">
        <f t="shared" si="0"/>
        <v>479852.55359999993</v>
      </c>
      <c r="Y34" s="34">
        <f t="shared" si="1"/>
        <v>20522.132399999999</v>
      </c>
      <c r="Z34" s="34">
        <f t="shared" si="2"/>
        <v>12441.679636000001</v>
      </c>
      <c r="AA34" s="34">
        <f t="shared" si="3"/>
        <v>16399.722689999999</v>
      </c>
      <c r="AB34" s="34">
        <f t="shared" si="4"/>
        <v>27226.554611999996</v>
      </c>
      <c r="AC34" s="34">
        <f t="shared" si="5"/>
        <v>13484.216433999998</v>
      </c>
      <c r="AD34" s="105">
        <f t="shared" si="6"/>
        <v>5.7461970720000001E-4</v>
      </c>
      <c r="AE34" s="105">
        <f t="shared" si="15"/>
        <v>1.5410587684055196E-2</v>
      </c>
      <c r="AF34" s="105">
        <f t="shared" si="14"/>
        <v>7.4006748750000004E-2</v>
      </c>
      <c r="AG34" s="106">
        <f t="shared" si="7"/>
        <v>3.4979999999999998E-3</v>
      </c>
      <c r="AH34" s="107">
        <f t="shared" si="8"/>
        <v>2.2202024625000002E-3</v>
      </c>
      <c r="AI34" s="107">
        <f t="shared" si="9"/>
        <v>8.5701000000000006E-4</v>
      </c>
      <c r="AJ34" s="105">
        <f t="shared" si="10"/>
        <v>4.3550099999999994E-3</v>
      </c>
      <c r="AK34" s="105">
        <f t="shared" si="11"/>
        <v>7.6226951212500005E-2</v>
      </c>
      <c r="AL34" s="108">
        <f t="shared" si="12"/>
        <v>9.6567168603755194E-2</v>
      </c>
      <c r="AM34" s="45"/>
      <c r="AN34" s="45"/>
      <c r="AO34" s="45"/>
    </row>
    <row r="35" spans="1:41" ht="15.75" customHeight="1">
      <c r="A35" s="110" t="s">
        <v>68</v>
      </c>
      <c r="B35" s="45" t="s">
        <v>104</v>
      </c>
      <c r="C35" s="102">
        <f>(VLOOKUP($A35,'Beef Animal Numbers'!$B$2:$E$52,2,FALSE) * 1000) * VLOOKUP($A35,'volatile solids and nex'!$B$4:$V$53,13,FALSE)</f>
        <v>954800</v>
      </c>
      <c r="D35" s="38">
        <f>(VLOOKUP($A35,'Beef Animal Numbers'!$B$2:$E$52,3,FALSE) * 1000) * VLOOKUP($A35,'volatile solids and nex'!$B$4:$V$53,8,FALSE)</f>
        <v>470610000</v>
      </c>
      <c r="E35" s="38">
        <f>(VLOOKUP($A35,'Beef Animal Numbers'!$B$2:$E$52,4,FALSE) * 1000) * VLOOKUP($A35,'volatile solids and nex'!$B$4:$V$53,12,FALSE)</f>
        <v>2016000</v>
      </c>
      <c r="F35" s="38">
        <f>(VLOOKUP($A35,'Beef Animal Numbers'!$B$2:$I$52,5,FALSE) * 1000) * VLOOKUP($A35,'volatile solids and nex'!$B$4:$V$53,9,FALSE)</f>
        <v>12460000</v>
      </c>
      <c r="G35" s="38">
        <f>(VLOOKUP($A35,'Beef Animal Numbers'!$B$2:$I$52,6,FALSE) * 1000) * VLOOKUP($A35,'volatile solids and nex'!$B$4:$V$53,11,FALSE)</f>
        <v>17225000</v>
      </c>
      <c r="H35" s="38">
        <f>(VLOOKUP($A35,'Beef Animal Numbers'!$B$2:$I$52,7,FALSE) * 1000) * VLOOKUP($A35,'volatile solids and nex'!$B$4:$V$53,10,FALSE)</f>
        <v>20142000</v>
      </c>
      <c r="I35" s="103">
        <f>(VLOOKUP($A35,'Beef Animal Numbers'!$B$2:$I$52,8,FALSE) * 1000) * VLOOKUP($A35,'volatile solids and nex'!$B$4:$V$53,11,FALSE)</f>
        <v>10335000</v>
      </c>
      <c r="J35" s="102">
        <f>(VLOOKUP($A35,'Beef Animal Numbers'!$B$2:$E$52,2,FALSE) * 1000) * VLOOKUP($A35,'volatile solids and nex'!$B$4:$W$53,22,FALSE)</f>
        <v>55800</v>
      </c>
      <c r="K35" s="38">
        <f>(VLOOKUP($A35,'Beef Animal Numbers'!$B$2:$E$52,3,FALSE) * 1000) * VLOOKUP($A35,'volatile solids and nex'!$B$4:$W$53,16,FALSE)</f>
        <v>14691000</v>
      </c>
      <c r="L35" s="38">
        <f>(VLOOKUP($A35,'Beef Animal Numbers'!$B$2:$E$52,4,FALSE) * 1000) * VLOOKUP($A35,'volatile solids and nex'!$B$4:$W$53,20,FALSE)</f>
        <v>180000</v>
      </c>
      <c r="M35" s="38">
        <f>(VLOOKUP($A35,'Beef Animal Numbers'!$B$2:$I$52,5,FALSE) * 1000) * VLOOKUP($A35,'volatile solids and nex'!$B$4:$W$53,17,FALSE)</f>
        <v>400000</v>
      </c>
      <c r="N35" s="38">
        <f>(VLOOKUP($A35,'Beef Animal Numbers'!$B$2:$I$52,6,FALSE) * 1000) * VLOOKUP($A35,'volatile solids and nex'!$B$4:$W$53,19,FALSE)</f>
        <v>1475000</v>
      </c>
      <c r="O35" s="38">
        <f>(VLOOKUP($A35,'Beef Animal Numbers'!$B$2:$I$52,7,FALSE) * 1000) * VLOOKUP($A35,'volatile solids and nex'!$B$4:$W$53,18,FALSE)</f>
        <v>594000</v>
      </c>
      <c r="P35" s="103">
        <f>(VLOOKUP($A35,'Beef Animal Numbers'!$B$2:$I$52,8,FALSE) * 1000) * VLOOKUP($A35,'volatile solids and nex'!$B$4:$W$53,19,FALSE)</f>
        <v>885000</v>
      </c>
      <c r="Q35" s="33">
        <v>0.33</v>
      </c>
      <c r="R35" s="33">
        <v>0.17</v>
      </c>
      <c r="S35" s="104">
        <v>0.47</v>
      </c>
      <c r="T35" s="33">
        <f>VLOOKUP(A35,'avg ann temp, manure EFs'!$B$3:$J$52,6,FALSE)</f>
        <v>1</v>
      </c>
      <c r="U35" s="33">
        <v>100</v>
      </c>
      <c r="V35" s="34">
        <v>100</v>
      </c>
      <c r="W35" s="34">
        <f t="shared" si="13"/>
        <v>505.0300024</v>
      </c>
      <c r="X35" s="34">
        <f t="shared" si="0"/>
        <v>248923.51217999999</v>
      </c>
      <c r="Y35" s="34">
        <f t="shared" si="1"/>
        <v>4404.1536000000006</v>
      </c>
      <c r="Z35" s="34">
        <f t="shared" si="2"/>
        <v>6590.5674799999997</v>
      </c>
      <c r="AA35" s="34">
        <f t="shared" si="3"/>
        <v>9110.9570499999991</v>
      </c>
      <c r="AB35" s="34">
        <f t="shared" si="4"/>
        <v>10653.869196</v>
      </c>
      <c r="AC35" s="34">
        <f t="shared" si="5"/>
        <v>5466.5742300000002</v>
      </c>
      <c r="AD35" s="105">
        <f t="shared" si="6"/>
        <v>1.233163008E-4</v>
      </c>
      <c r="AE35" s="105">
        <f t="shared" si="15"/>
        <v>7.875014283875199E-3</v>
      </c>
      <c r="AF35" s="105">
        <f t="shared" si="14"/>
        <v>3.7688451428571426E-2</v>
      </c>
      <c r="AG35" s="106">
        <f t="shared" si="7"/>
        <v>7.4957142857142855E-4</v>
      </c>
      <c r="AH35" s="107">
        <f t="shared" si="8"/>
        <v>1.1306535428571426E-3</v>
      </c>
      <c r="AI35" s="107">
        <f t="shared" si="9"/>
        <v>1.8364500000000002E-4</v>
      </c>
      <c r="AJ35" s="105">
        <f t="shared" si="10"/>
        <v>9.3321642857142851E-4</v>
      </c>
      <c r="AK35" s="105">
        <f t="shared" si="11"/>
        <v>3.881910497142857E-2</v>
      </c>
      <c r="AL35" s="108">
        <f t="shared" si="12"/>
        <v>4.7750651984675201E-2</v>
      </c>
      <c r="AM35" s="45"/>
      <c r="AN35" s="45"/>
      <c r="AO35" s="45"/>
    </row>
    <row r="36" spans="1:41" ht="15.75" customHeight="1">
      <c r="A36" s="110" t="s">
        <v>69</v>
      </c>
      <c r="B36" s="45" t="s">
        <v>104</v>
      </c>
      <c r="C36" s="102">
        <f>(VLOOKUP($A36,'Beef Animal Numbers'!$B$2:$E$52,2,FALSE) * 1000) * VLOOKUP($A36,'volatile solids and nex'!$B$4:$V$53,13,FALSE)</f>
        <v>1147300</v>
      </c>
      <c r="D36" s="38">
        <f>(VLOOKUP($A36,'Beef Animal Numbers'!$B$2:$E$52,3,FALSE) * 1000) * VLOOKUP($A36,'volatile solids and nex'!$B$4:$V$53,8,FALSE)</f>
        <v>472926000</v>
      </c>
      <c r="E36" s="38">
        <f>(VLOOKUP($A36,'Beef Animal Numbers'!$B$2:$E$52,4,FALSE) * 1000) * VLOOKUP($A36,'volatile solids and nex'!$B$4:$V$53,12,FALSE)</f>
        <v>113399000</v>
      </c>
      <c r="F36" s="38">
        <f>(VLOOKUP($A36,'Beef Animal Numbers'!$B$2:$I$52,5,FALSE) * 1000) * VLOOKUP($A36,'volatile solids and nex'!$B$4:$V$53,9,FALSE)</f>
        <v>16432000</v>
      </c>
      <c r="G36" s="38">
        <f>(VLOOKUP($A36,'Beef Animal Numbers'!$B$2:$I$52,6,FALSE) * 1000) * VLOOKUP($A36,'volatile solids and nex'!$B$4:$V$53,11,FALSE)</f>
        <v>26871000</v>
      </c>
      <c r="H36" s="38">
        <f>(VLOOKUP($A36,'Beef Animal Numbers'!$B$2:$I$52,7,FALSE) * 1000) * VLOOKUP($A36,'volatile solids and nex'!$B$4:$V$53,10,FALSE)</f>
        <v>93526000</v>
      </c>
      <c r="I36" s="103">
        <f>(VLOOKUP($A36,'Beef Animal Numbers'!$B$2:$I$52,8,FALSE) * 1000) * VLOOKUP($A36,'volatile solids and nex'!$B$4:$V$53,11,FALSE)</f>
        <v>20670000</v>
      </c>
      <c r="J36" s="102">
        <f>(VLOOKUP($A36,'Beef Animal Numbers'!$B$2:$E$52,2,FALSE) * 1000) * VLOOKUP($A36,'volatile solids and nex'!$B$4:$W$53,22,FALSE)</f>
        <v>67050</v>
      </c>
      <c r="K36" s="38">
        <f>(VLOOKUP($A36,'Beef Animal Numbers'!$B$2:$E$52,3,FALSE) * 1000) * VLOOKUP($A36,'volatile solids and nex'!$B$4:$W$53,16,FALSE)</f>
        <v>22350000</v>
      </c>
      <c r="L36" s="38">
        <f>(VLOOKUP($A36,'Beef Animal Numbers'!$B$2:$E$52,4,FALSE) * 1000) * VLOOKUP($A36,'volatile solids and nex'!$B$4:$W$53,20,FALSE)</f>
        <v>10140000</v>
      </c>
      <c r="M36" s="38">
        <f>(VLOOKUP($A36,'Beef Animal Numbers'!$B$2:$I$52,5,FALSE) * 1000) * VLOOKUP($A36,'volatile solids and nex'!$B$4:$W$53,17,FALSE)</f>
        <v>816000</v>
      </c>
      <c r="N36" s="38">
        <f>(VLOOKUP($A36,'Beef Animal Numbers'!$B$2:$I$52,6,FALSE) * 1000) * VLOOKUP($A36,'volatile solids and nex'!$B$4:$W$53,19,FALSE)</f>
        <v>2262000</v>
      </c>
      <c r="O36" s="38">
        <f>(VLOOKUP($A36,'Beef Animal Numbers'!$B$2:$I$52,7,FALSE) * 1000) * VLOOKUP($A36,'volatile solids and nex'!$B$4:$W$53,18,FALSE)</f>
        <v>4343000</v>
      </c>
      <c r="P36" s="103">
        <f>(VLOOKUP($A36,'Beef Animal Numbers'!$B$2:$I$52,8,FALSE) * 1000) * VLOOKUP($A36,'volatile solids and nex'!$B$4:$W$53,19,FALSE)</f>
        <v>1740000</v>
      </c>
      <c r="Q36" s="33">
        <v>0.33</v>
      </c>
      <c r="R36" s="33">
        <v>0.17</v>
      </c>
      <c r="S36" s="104">
        <v>0.47</v>
      </c>
      <c r="T36" s="33">
        <f>VLOOKUP(A36,'avg ann temp, manure EFs'!$B$3:$J$52,6,FALSE)</f>
        <v>1</v>
      </c>
      <c r="U36" s="33">
        <v>100</v>
      </c>
      <c r="V36" s="34">
        <v>100</v>
      </c>
      <c r="W36" s="34">
        <f t="shared" si="13"/>
        <v>606.85056740000005</v>
      </c>
      <c r="X36" s="34">
        <f t="shared" si="0"/>
        <v>250148.532588</v>
      </c>
      <c r="Y36" s="34">
        <f t="shared" si="1"/>
        <v>247731.45540000004</v>
      </c>
      <c r="Z36" s="34">
        <f t="shared" si="2"/>
        <v>8691.5092159999986</v>
      </c>
      <c r="AA36" s="34">
        <f t="shared" si="3"/>
        <v>14213.092998</v>
      </c>
      <c r="AB36" s="34">
        <f t="shared" si="4"/>
        <v>49469.455387999995</v>
      </c>
      <c r="AC36" s="34">
        <f t="shared" si="5"/>
        <v>10933.14846</v>
      </c>
      <c r="AD36" s="105">
        <f t="shared" si="6"/>
        <v>6.9364807512000016E-3</v>
      </c>
      <c r="AE36" s="105">
        <f t="shared" si="15"/>
        <v>9.3537524980871981E-3</v>
      </c>
      <c r="AF36" s="105">
        <f t="shared" si="14"/>
        <v>6.575001124999999E-2</v>
      </c>
      <c r="AG36" s="106">
        <f t="shared" si="7"/>
        <v>4.2225857142857141E-2</v>
      </c>
      <c r="AH36" s="107">
        <f t="shared" si="8"/>
        <v>1.9725003374999996E-3</v>
      </c>
      <c r="AI36" s="107">
        <f t="shared" si="9"/>
        <v>1.0345335000000001E-2</v>
      </c>
      <c r="AJ36" s="105">
        <f t="shared" si="10"/>
        <v>5.2571192142857145E-2</v>
      </c>
      <c r="AK36" s="105">
        <f t="shared" si="11"/>
        <v>6.7722511587499992E-2</v>
      </c>
      <c r="AL36" s="108">
        <f t="shared" si="12"/>
        <v>0.13658393697964435</v>
      </c>
      <c r="AM36" s="45"/>
      <c r="AN36" s="45"/>
      <c r="AO36" s="45"/>
    </row>
    <row r="37" spans="1:41" ht="15.75" customHeight="1">
      <c r="A37" s="110" t="s">
        <v>70</v>
      </c>
      <c r="B37" s="45" t="s">
        <v>104</v>
      </c>
      <c r="C37" s="102">
        <f>(VLOOKUP($A37,'Beef Animal Numbers'!$B$2:$E$52,2,FALSE) * 1000) * VLOOKUP($A37,'volatile solids and nex'!$B$4:$V$53,13,FALSE)</f>
        <v>8100400</v>
      </c>
      <c r="D37" s="38">
        <f>(VLOOKUP($A37,'Beef Animal Numbers'!$B$2:$E$52,3,FALSE) * 1000) * VLOOKUP($A37,'volatile solids and nex'!$B$4:$V$53,8,FALSE)</f>
        <v>3507267000</v>
      </c>
      <c r="E37" s="38">
        <f>(VLOOKUP($A37,'Beef Animal Numbers'!$B$2:$E$52,4,FALSE) * 1000) * VLOOKUP($A37,'volatile solids and nex'!$B$4:$V$53,12,FALSE)</f>
        <v>232166000</v>
      </c>
      <c r="F37" s="38">
        <f>(VLOOKUP($A37,'Beef Animal Numbers'!$B$2:$I$52,5,FALSE) * 1000) * VLOOKUP($A37,'volatile solids and nex'!$B$4:$V$53,9,FALSE)</f>
        <v>93003000</v>
      </c>
      <c r="G37" s="38">
        <f>(VLOOKUP($A37,'Beef Animal Numbers'!$B$2:$I$52,6,FALSE) * 1000) * VLOOKUP($A37,'volatile solids and nex'!$B$4:$V$53,11,FALSE)</f>
        <v>142623000</v>
      </c>
      <c r="H37" s="38">
        <f>(VLOOKUP($A37,'Beef Animal Numbers'!$B$2:$I$52,7,FALSE) * 1000) * VLOOKUP($A37,'volatile solids and nex'!$B$4:$V$53,10,FALSE)</f>
        <v>451472000</v>
      </c>
      <c r="I37" s="103">
        <f>(VLOOKUP($A37,'Beef Animal Numbers'!$B$2:$I$52,8,FALSE) * 1000) * VLOOKUP($A37,'volatile solids and nex'!$B$4:$V$53,11,FALSE)</f>
        <v>170183000</v>
      </c>
      <c r="J37" s="102">
        <f>(VLOOKUP($A37,'Beef Animal Numbers'!$B$2:$E$52,2,FALSE) * 1000) * VLOOKUP($A37,'volatile solids and nex'!$B$4:$W$53,22,FALSE)</f>
        <v>473400</v>
      </c>
      <c r="K37" s="38">
        <f>(VLOOKUP($A37,'Beef Animal Numbers'!$B$2:$E$52,3,FALSE) * 1000) * VLOOKUP($A37,'volatile solids and nex'!$B$4:$W$53,16,FALSE)</f>
        <v>153957000</v>
      </c>
      <c r="L37" s="38">
        <f>(VLOOKUP($A37,'Beef Animal Numbers'!$B$2:$E$52,4,FALSE) * 1000) * VLOOKUP($A37,'volatile solids and nex'!$B$4:$W$53,20,FALSE)</f>
        <v>20760000</v>
      </c>
      <c r="M37" s="38">
        <f>(VLOOKUP($A37,'Beef Animal Numbers'!$B$2:$I$52,5,FALSE) * 1000) * VLOOKUP($A37,'volatile solids and nex'!$B$4:$W$53,17,FALSE)</f>
        <v>4176000</v>
      </c>
      <c r="N37" s="38">
        <f>(VLOOKUP($A37,'Beef Animal Numbers'!$B$2:$I$52,6,FALSE) * 1000) * VLOOKUP($A37,'volatile solids and nex'!$B$4:$W$53,19,FALSE)</f>
        <v>12213000</v>
      </c>
      <c r="O37" s="38">
        <f>(VLOOKUP($A37,'Beef Animal Numbers'!$B$2:$I$52,7,FALSE) * 1000) * VLOOKUP($A37,'volatile solids and nex'!$B$4:$W$53,18,FALSE)</f>
        <v>19024000</v>
      </c>
      <c r="P37" s="103">
        <f>(VLOOKUP($A37,'Beef Animal Numbers'!$B$2:$I$52,8,FALSE) * 1000) * VLOOKUP($A37,'volatile solids and nex'!$B$4:$W$53,19,FALSE)</f>
        <v>14573000</v>
      </c>
      <c r="Q37" s="33">
        <v>0.33</v>
      </c>
      <c r="R37" s="33">
        <v>0.17</v>
      </c>
      <c r="S37" s="104">
        <v>0.47</v>
      </c>
      <c r="T37" s="33">
        <f>VLOOKUP(A37,'avg ann temp, manure EFs'!$B$3:$J$52,6,FALSE)</f>
        <v>1.5</v>
      </c>
      <c r="U37" s="33">
        <v>100</v>
      </c>
      <c r="V37" s="34">
        <v>100</v>
      </c>
      <c r="W37" s="34">
        <f t="shared" si="13"/>
        <v>4284.6093751999997</v>
      </c>
      <c r="X37" s="34">
        <f t="shared" si="0"/>
        <v>1855126.7924459998</v>
      </c>
      <c r="Y37" s="34">
        <f t="shared" si="1"/>
        <v>760784.76539999992</v>
      </c>
      <c r="Z37" s="34">
        <f t="shared" si="2"/>
        <v>49192.820813999999</v>
      </c>
      <c r="AA37" s="34">
        <f t="shared" si="3"/>
        <v>75438.724373999998</v>
      </c>
      <c r="AB37" s="34">
        <f t="shared" si="4"/>
        <v>238800.69673599998</v>
      </c>
      <c r="AC37" s="34">
        <f t="shared" si="5"/>
        <v>90016.255653999993</v>
      </c>
      <c r="AD37" s="105">
        <f t="shared" si="6"/>
        <v>2.1301973431199998E-2</v>
      </c>
      <c r="AE37" s="105">
        <f t="shared" si="15"/>
        <v>6.4760077183177597E-2</v>
      </c>
      <c r="AF37" s="105">
        <f t="shared" si="14"/>
        <v>0.42562414714285712</v>
      </c>
      <c r="AG37" s="106">
        <f t="shared" si="7"/>
        <v>8.6450571428571432E-2</v>
      </c>
      <c r="AH37" s="107">
        <f t="shared" si="8"/>
        <v>1.2768724414285712E-2</v>
      </c>
      <c r="AI37" s="107">
        <f t="shared" si="9"/>
        <v>2.118039E-2</v>
      </c>
      <c r="AJ37" s="105">
        <f t="shared" si="10"/>
        <v>0.10763096142857143</v>
      </c>
      <c r="AK37" s="105">
        <f t="shared" si="11"/>
        <v>0.43839287155714285</v>
      </c>
      <c r="AL37" s="108">
        <f t="shared" si="12"/>
        <v>0.63208588360009188</v>
      </c>
      <c r="AM37" s="45"/>
      <c r="AN37" s="45"/>
      <c r="AO37" s="45"/>
    </row>
    <row r="38" spans="1:41" ht="15.75" customHeight="1">
      <c r="A38" s="110" t="s">
        <v>71</v>
      </c>
      <c r="B38" s="45" t="s">
        <v>104</v>
      </c>
      <c r="C38" s="102">
        <f>(VLOOKUP($A38,'Beef Animal Numbers'!$B$2:$E$52,2,FALSE) * 1000) * VLOOKUP($A38,'volatile solids and nex'!$B$4:$V$53,13,FALSE)</f>
        <v>2048200</v>
      </c>
      <c r="D38" s="38">
        <f>(VLOOKUP($A38,'Beef Animal Numbers'!$B$2:$E$52,3,FALSE) * 1000) * VLOOKUP($A38,'volatile solids and nex'!$B$4:$V$53,8,FALSE)</f>
        <v>1007370000</v>
      </c>
      <c r="E38" s="38">
        <f>(VLOOKUP($A38,'Beef Animal Numbers'!$B$2:$E$52,4,FALSE) * 1000) * VLOOKUP($A38,'volatile solids and nex'!$B$4:$V$53,12,FALSE)</f>
        <v>64416000</v>
      </c>
      <c r="F38" s="38">
        <f>(VLOOKUP($A38,'Beef Animal Numbers'!$B$2:$I$52,5,FALSE) * 1000) * VLOOKUP($A38,'volatile solids and nex'!$B$4:$V$53,9,FALSE)</f>
        <v>30875000</v>
      </c>
      <c r="G38" s="38">
        <f>(VLOOKUP($A38,'Beef Animal Numbers'!$B$2:$I$52,6,FALSE) * 1000) * VLOOKUP($A38,'volatile solids and nex'!$B$4:$V$53,11,FALSE)</f>
        <v>40651000</v>
      </c>
      <c r="H38" s="38">
        <f>(VLOOKUP($A38,'Beef Animal Numbers'!$B$2:$I$52,7,FALSE) * 1000) * VLOOKUP($A38,'volatile solids and nex'!$B$4:$V$53,10,FALSE)</f>
        <v>74973000</v>
      </c>
      <c r="I38" s="103">
        <f>(VLOOKUP($A38,'Beef Animal Numbers'!$B$2:$I$52,8,FALSE) * 1000) * VLOOKUP($A38,'volatile solids and nex'!$B$4:$V$53,11,FALSE)</f>
        <v>38584000</v>
      </c>
      <c r="J38" s="102">
        <f>(VLOOKUP($A38,'Beef Animal Numbers'!$B$2:$E$52,2,FALSE) * 1000) * VLOOKUP($A38,'volatile solids and nex'!$B$4:$W$53,22,FALSE)</f>
        <v>119700</v>
      </c>
      <c r="K38" s="38">
        <f>(VLOOKUP($A38,'Beef Animal Numbers'!$B$2:$E$52,3,FALSE) * 1000) * VLOOKUP($A38,'volatile solids and nex'!$B$4:$W$53,16,FALSE)</f>
        <v>31447000</v>
      </c>
      <c r="L38" s="38">
        <f>(VLOOKUP($A38,'Beef Animal Numbers'!$B$2:$E$52,4,FALSE) * 1000) * VLOOKUP($A38,'volatile solids and nex'!$B$4:$W$53,20,FALSE)</f>
        <v>5760000</v>
      </c>
      <c r="M38" s="38">
        <f>(VLOOKUP($A38,'Beef Animal Numbers'!$B$2:$I$52,5,FALSE) * 1000) * VLOOKUP($A38,'volatile solids and nex'!$B$4:$W$53,17,FALSE)</f>
        <v>1000000</v>
      </c>
      <c r="N38" s="38">
        <f>(VLOOKUP($A38,'Beef Animal Numbers'!$B$2:$I$52,6,FALSE) * 1000) * VLOOKUP($A38,'volatile solids and nex'!$B$4:$W$53,19,FALSE)</f>
        <v>3481000</v>
      </c>
      <c r="O38" s="38">
        <f>(VLOOKUP($A38,'Beef Animal Numbers'!$B$2:$I$52,7,FALSE) * 1000) * VLOOKUP($A38,'volatile solids and nex'!$B$4:$W$53,18,FALSE)</f>
        <v>2211000</v>
      </c>
      <c r="P38" s="103">
        <f>(VLOOKUP($A38,'Beef Animal Numbers'!$B$2:$I$52,8,FALSE) * 1000) * VLOOKUP($A38,'volatile solids and nex'!$B$4:$W$53,19,FALSE)</f>
        <v>3304000</v>
      </c>
      <c r="Q38" s="33">
        <v>0.33</v>
      </c>
      <c r="R38" s="33">
        <v>0.17</v>
      </c>
      <c r="S38" s="104">
        <v>0.47</v>
      </c>
      <c r="T38" s="33">
        <f>VLOOKUP(A38,'avg ann temp, manure EFs'!$B$3:$J$52,6,FALSE)</f>
        <v>1</v>
      </c>
      <c r="U38" s="33">
        <v>100</v>
      </c>
      <c r="V38" s="34">
        <v>100</v>
      </c>
      <c r="W38" s="34">
        <f t="shared" si="13"/>
        <v>1083.3708116</v>
      </c>
      <c r="X38" s="34">
        <f t="shared" si="0"/>
        <v>532836.27306000004</v>
      </c>
      <c r="Y38" s="34">
        <f t="shared" si="1"/>
        <v>140723.19360000003</v>
      </c>
      <c r="Z38" s="34">
        <f t="shared" si="2"/>
        <v>16330.96075</v>
      </c>
      <c r="AA38" s="34">
        <f t="shared" si="3"/>
        <v>21501.858637999998</v>
      </c>
      <c r="AB38" s="34">
        <f t="shared" si="4"/>
        <v>39656.068673999995</v>
      </c>
      <c r="AC38" s="34">
        <f t="shared" si="5"/>
        <v>20408.543792</v>
      </c>
      <c r="AD38" s="105">
        <f t="shared" si="6"/>
        <v>3.9402494208000006E-3</v>
      </c>
      <c r="AE38" s="105">
        <f t="shared" si="15"/>
        <v>1.7690878120316802E-2</v>
      </c>
      <c r="AF38" s="105">
        <f t="shared" si="14"/>
        <v>8.6539478928571431E-2</v>
      </c>
      <c r="AG38" s="106">
        <f t="shared" si="7"/>
        <v>2.3986285714285713E-2</v>
      </c>
      <c r="AH38" s="107">
        <f t="shared" si="8"/>
        <v>2.5961843678571424E-3</v>
      </c>
      <c r="AI38" s="107">
        <f t="shared" si="9"/>
        <v>5.8766400000000007E-3</v>
      </c>
      <c r="AJ38" s="105">
        <f t="shared" si="10"/>
        <v>2.9862925714285712E-2</v>
      </c>
      <c r="AK38" s="105">
        <f t="shared" si="11"/>
        <v>8.913566329642858E-2</v>
      </c>
      <c r="AL38" s="108">
        <f t="shared" si="12"/>
        <v>0.1406297165518311</v>
      </c>
      <c r="AM38" s="45"/>
      <c r="AN38" s="45"/>
      <c r="AO38" s="45"/>
    </row>
    <row r="39" spans="1:41" ht="15.75" customHeight="1">
      <c r="A39" s="110" t="s">
        <v>72</v>
      </c>
      <c r="B39" s="45" t="s">
        <v>104</v>
      </c>
      <c r="C39" s="102">
        <f>(VLOOKUP($A39,'Beef Animal Numbers'!$B$2:$E$52,2,FALSE) * 1000) * VLOOKUP($A39,'volatile solids and nex'!$B$4:$V$53,13,FALSE)</f>
        <v>847000</v>
      </c>
      <c r="D39" s="38">
        <f>(VLOOKUP($A39,'Beef Animal Numbers'!$B$2:$E$52,3,FALSE) * 1000) * VLOOKUP($A39,'volatile solids and nex'!$B$4:$V$53,8,FALSE)</f>
        <v>367840000</v>
      </c>
      <c r="E39" s="38">
        <f>(VLOOKUP($A39,'Beef Animal Numbers'!$B$2:$E$52,4,FALSE) * 1000) * VLOOKUP($A39,'volatile solids and nex'!$B$4:$V$53,12,FALSE)</f>
        <v>68442000</v>
      </c>
      <c r="F39" s="38">
        <f>(VLOOKUP($A39,'Beef Animal Numbers'!$B$2:$I$52,5,FALSE) * 1000) * VLOOKUP($A39,'volatile solids and nex'!$B$4:$V$53,9,FALSE)</f>
        <v>15218000</v>
      </c>
      <c r="G39" s="38">
        <f>(VLOOKUP($A39,'Beef Animal Numbers'!$B$2:$I$52,6,FALSE) * 1000) * VLOOKUP($A39,'volatile solids and nex'!$B$4:$V$53,11,FALSE)</f>
        <v>23426000</v>
      </c>
      <c r="H39" s="38">
        <f>(VLOOKUP($A39,'Beef Animal Numbers'!$B$2:$I$52,7,FALSE) * 1000) * VLOOKUP($A39,'volatile solids and nex'!$B$4:$V$53,10,FALSE)</f>
        <v>60698000</v>
      </c>
      <c r="I39" s="103">
        <f>(VLOOKUP($A39,'Beef Animal Numbers'!$B$2:$I$52,8,FALSE) * 1000) * VLOOKUP($A39,'volatile solids and nex'!$B$4:$V$53,11,FALSE)</f>
        <v>17914000</v>
      </c>
      <c r="J39" s="102">
        <f>(VLOOKUP($A39,'Beef Animal Numbers'!$B$2:$E$52,2,FALSE) * 1000) * VLOOKUP($A39,'volatile solids and nex'!$B$4:$W$53,22,FALSE)</f>
        <v>49500</v>
      </c>
      <c r="K39" s="38">
        <f>(VLOOKUP($A39,'Beef Animal Numbers'!$B$2:$E$52,3,FALSE) * 1000) * VLOOKUP($A39,'volatile solids and nex'!$B$4:$W$53,16,FALSE)</f>
        <v>16280000</v>
      </c>
      <c r="L39" s="38">
        <f>(VLOOKUP($A39,'Beef Animal Numbers'!$B$2:$E$52,4,FALSE) * 1000) * VLOOKUP($A39,'volatile solids and nex'!$B$4:$W$53,20,FALSE)</f>
        <v>6120000</v>
      </c>
      <c r="M39" s="38">
        <f>(VLOOKUP($A39,'Beef Animal Numbers'!$B$2:$I$52,5,FALSE) * 1000) * VLOOKUP($A39,'volatile solids and nex'!$B$4:$W$53,17,FALSE)</f>
        <v>700000</v>
      </c>
      <c r="N39" s="38">
        <f>(VLOOKUP($A39,'Beef Animal Numbers'!$B$2:$I$52,6,FALSE) * 1000) * VLOOKUP($A39,'volatile solids and nex'!$B$4:$W$53,19,FALSE)</f>
        <v>2006000</v>
      </c>
      <c r="O39" s="38">
        <f>(VLOOKUP($A39,'Beef Animal Numbers'!$B$2:$I$52,7,FALSE) * 1000) * VLOOKUP($A39,'volatile solids and nex'!$B$4:$W$53,18,FALSE)</f>
        <v>2604000</v>
      </c>
      <c r="P39" s="103">
        <f>(VLOOKUP($A39,'Beef Animal Numbers'!$B$2:$I$52,8,FALSE) * 1000) * VLOOKUP($A39,'volatile solids and nex'!$B$4:$W$53,19,FALSE)</f>
        <v>1534000</v>
      </c>
      <c r="Q39" s="33">
        <v>0.33</v>
      </c>
      <c r="R39" s="33">
        <v>0.17</v>
      </c>
      <c r="S39" s="104">
        <v>0.47</v>
      </c>
      <c r="T39" s="33">
        <f>VLOOKUP(A39,'avg ann temp, manure EFs'!$B$3:$J$52,6,FALSE)</f>
        <v>1</v>
      </c>
      <c r="U39" s="33">
        <v>100</v>
      </c>
      <c r="V39" s="34">
        <v>100</v>
      </c>
      <c r="W39" s="34">
        <f t="shared" si="13"/>
        <v>448.01048599999996</v>
      </c>
      <c r="X39" s="34">
        <f t="shared" si="0"/>
        <v>194564.55391999998</v>
      </c>
      <c r="Y39" s="34">
        <f t="shared" si="1"/>
        <v>149518.39320000002</v>
      </c>
      <c r="Z39" s="34">
        <f t="shared" si="2"/>
        <v>8049.3784839999998</v>
      </c>
      <c r="AA39" s="34">
        <f t="shared" si="3"/>
        <v>12390.901587999999</v>
      </c>
      <c r="AB39" s="34">
        <f t="shared" si="4"/>
        <v>32105.478724000001</v>
      </c>
      <c r="AC39" s="34">
        <f t="shared" si="5"/>
        <v>9475.3953319999982</v>
      </c>
      <c r="AD39" s="105">
        <f t="shared" si="6"/>
        <v>4.1865150096000005E-3</v>
      </c>
      <c r="AE39" s="105">
        <f t="shared" si="15"/>
        <v>7.1969441189519995E-3</v>
      </c>
      <c r="AF39" s="105">
        <f t="shared" si="14"/>
        <v>4.8250537499999996E-2</v>
      </c>
      <c r="AG39" s="106">
        <f t="shared" si="7"/>
        <v>2.5485428571428569E-2</v>
      </c>
      <c r="AH39" s="107">
        <f t="shared" si="8"/>
        <v>1.447516125E-3</v>
      </c>
      <c r="AI39" s="107">
        <f t="shared" si="9"/>
        <v>6.24393E-3</v>
      </c>
      <c r="AJ39" s="105">
        <f t="shared" si="10"/>
        <v>3.172935857142857E-2</v>
      </c>
      <c r="AK39" s="105">
        <f t="shared" si="11"/>
        <v>4.9698053624999995E-2</v>
      </c>
      <c r="AL39" s="108">
        <f t="shared" si="12"/>
        <v>9.2810871324980573E-2</v>
      </c>
      <c r="AM39" s="45"/>
      <c r="AN39" s="45"/>
      <c r="AO39" s="45"/>
    </row>
    <row r="40" spans="1:41" ht="15.75" customHeight="1">
      <c r="A40" s="110" t="s">
        <v>73</v>
      </c>
      <c r="B40" s="45" t="s">
        <v>104</v>
      </c>
      <c r="C40" s="102">
        <f>(VLOOKUP($A40,'Beef Animal Numbers'!$B$2:$E$52,2,FALSE) * 1000) * VLOOKUP($A40,'volatile solids and nex'!$B$4:$V$53,13,FALSE)</f>
        <v>7700</v>
      </c>
      <c r="D40" s="38">
        <f>(VLOOKUP($A40,'Beef Animal Numbers'!$B$2:$E$52,3,FALSE) * 1000) * VLOOKUP($A40,'volatile solids and nex'!$B$4:$V$53,8,FALSE)</f>
        <v>1672000</v>
      </c>
      <c r="E40" s="38">
        <f>(VLOOKUP($A40,'Beef Animal Numbers'!$B$2:$E$52,4,FALSE) * 1000) * VLOOKUP($A40,'volatile solids and nex'!$B$4:$V$53,12,FALSE)</f>
        <v>0</v>
      </c>
      <c r="F40" s="38">
        <f>(VLOOKUP($A40,'Beef Animal Numbers'!$B$2:$I$52,5,FALSE) * 1000) * VLOOKUP($A40,'volatile solids and nex'!$B$4:$V$53,9,FALSE)</f>
        <v>0</v>
      </c>
      <c r="G40" s="38">
        <f>(VLOOKUP($A40,'Beef Animal Numbers'!$B$2:$I$52,6,FALSE) * 1000) * VLOOKUP($A40,'volatile solids and nex'!$B$4:$V$53,11,FALSE)</f>
        <v>0</v>
      </c>
      <c r="H40" s="38">
        <f>(VLOOKUP($A40,'Beef Animal Numbers'!$B$2:$I$52,7,FALSE) * 1000) * VLOOKUP($A40,'volatile solids and nex'!$B$4:$V$53,10,FALSE)</f>
        <v>0</v>
      </c>
      <c r="I40" s="103">
        <f>(VLOOKUP($A40,'Beef Animal Numbers'!$B$2:$I$52,8,FALSE) * 1000) * VLOOKUP($A40,'volatile solids and nex'!$B$4:$V$53,11,FALSE)</f>
        <v>0</v>
      </c>
      <c r="J40" s="102">
        <f>(VLOOKUP($A40,'Beef Animal Numbers'!$B$2:$E$52,2,FALSE) * 1000) * VLOOKUP($A40,'volatile solids and nex'!$B$4:$W$53,22,FALSE)</f>
        <v>450</v>
      </c>
      <c r="K40" s="38">
        <f>(VLOOKUP($A40,'Beef Animal Numbers'!$B$2:$E$52,3,FALSE) * 1000) * VLOOKUP($A40,'volatile solids and nex'!$B$4:$W$53,16,FALSE)</f>
        <v>74000</v>
      </c>
      <c r="L40" s="38">
        <f>(VLOOKUP($A40,'Beef Animal Numbers'!$B$2:$E$52,4,FALSE) * 1000) * VLOOKUP($A40,'volatile solids and nex'!$B$4:$W$53,20,FALSE)</f>
        <v>0</v>
      </c>
      <c r="M40" s="38">
        <f>(VLOOKUP($A40,'Beef Animal Numbers'!$B$2:$I$52,5,FALSE) * 1000) * VLOOKUP($A40,'volatile solids and nex'!$B$4:$W$53,17,FALSE)</f>
        <v>0</v>
      </c>
      <c r="N40" s="38">
        <f>(VLOOKUP($A40,'Beef Animal Numbers'!$B$2:$I$52,6,FALSE) * 1000) * VLOOKUP($A40,'volatile solids and nex'!$B$4:$W$53,19,FALSE)</f>
        <v>0</v>
      </c>
      <c r="O40" s="38">
        <f>(VLOOKUP($A40,'Beef Animal Numbers'!$B$2:$I$52,7,FALSE) * 1000) * VLOOKUP($A40,'volatile solids and nex'!$B$4:$W$53,18,FALSE)</f>
        <v>0</v>
      </c>
      <c r="P40" s="103">
        <f>(VLOOKUP($A40,'Beef Animal Numbers'!$B$2:$I$52,8,FALSE) * 1000) * VLOOKUP($A40,'volatile solids and nex'!$B$4:$W$53,19,FALSE)</f>
        <v>0</v>
      </c>
      <c r="Q40" s="33">
        <v>0.33</v>
      </c>
      <c r="R40" s="33">
        <v>0.17</v>
      </c>
      <c r="S40" s="104">
        <v>0.47</v>
      </c>
      <c r="T40" s="33">
        <f>VLOOKUP(A40,'avg ann temp, manure EFs'!$B$3:$J$52,6,FALSE)</f>
        <v>1</v>
      </c>
      <c r="U40" s="33">
        <v>100</v>
      </c>
      <c r="V40" s="34">
        <v>100</v>
      </c>
      <c r="W40" s="34">
        <f t="shared" si="13"/>
        <v>4.0728226000000003</v>
      </c>
      <c r="X40" s="34">
        <f t="shared" si="0"/>
        <v>884.38433599999985</v>
      </c>
      <c r="Y40" s="34">
        <f t="shared" si="1"/>
        <v>0</v>
      </c>
      <c r="Z40" s="34">
        <f t="shared" si="2"/>
        <v>0</v>
      </c>
      <c r="AA40" s="34">
        <f t="shared" si="3"/>
        <v>0</v>
      </c>
      <c r="AB40" s="34">
        <f t="shared" si="4"/>
        <v>0</v>
      </c>
      <c r="AC40" s="34">
        <f t="shared" si="5"/>
        <v>0</v>
      </c>
      <c r="AD40" s="105">
        <f t="shared" si="6"/>
        <v>0</v>
      </c>
      <c r="AE40" s="105">
        <f t="shared" si="15"/>
        <v>2.4876800440799997E-5</v>
      </c>
      <c r="AF40" s="105">
        <f t="shared" si="14"/>
        <v>1.550155357142857E-4</v>
      </c>
      <c r="AG40" s="106">
        <f t="shared" si="7"/>
        <v>0</v>
      </c>
      <c r="AH40" s="107">
        <f t="shared" si="8"/>
        <v>4.6504660714285725E-6</v>
      </c>
      <c r="AI40" s="107">
        <f t="shared" si="9"/>
        <v>0</v>
      </c>
      <c r="AJ40" s="105">
        <f t="shared" si="10"/>
        <v>0</v>
      </c>
      <c r="AK40" s="105">
        <f t="shared" si="11"/>
        <v>1.5966600178571428E-4</v>
      </c>
      <c r="AL40" s="108">
        <f t="shared" si="12"/>
        <v>1.8454280222651427E-4</v>
      </c>
      <c r="AM40" s="45"/>
      <c r="AN40" s="45"/>
      <c r="AO40" s="45"/>
    </row>
    <row r="41" spans="1:41" ht="15.75" customHeight="1">
      <c r="A41" s="110" t="s">
        <v>74</v>
      </c>
      <c r="B41" s="45" t="s">
        <v>104</v>
      </c>
      <c r="C41" s="102">
        <f>(VLOOKUP($A41,'Beef Animal Numbers'!$B$2:$E$52,2,FALSE) * 1000) * VLOOKUP($A41,'volatile solids and nex'!$B$4:$V$53,13,FALSE)</f>
        <v>685300</v>
      </c>
      <c r="D41" s="38">
        <f>(VLOOKUP($A41,'Beef Animal Numbers'!$B$2:$E$52,3,FALSE) * 1000) * VLOOKUP($A41,'volatile solids and nex'!$B$4:$V$53,8,FALSE)</f>
        <v>297677000</v>
      </c>
      <c r="E41" s="38">
        <f>(VLOOKUP($A41,'Beef Animal Numbers'!$B$2:$E$52,4,FALSE) * 1000) * VLOOKUP($A41,'volatile solids and nex'!$B$4:$V$53,12,FALSE)</f>
        <v>1340000</v>
      </c>
      <c r="F41" s="38">
        <f>(VLOOKUP($A41,'Beef Animal Numbers'!$B$2:$I$52,5,FALSE) * 1000) * VLOOKUP($A41,'volatile solids and nex'!$B$4:$V$53,9,FALSE)</f>
        <v>6582000</v>
      </c>
      <c r="G41" s="38">
        <f>(VLOOKUP($A41,'Beef Animal Numbers'!$B$2:$I$52,6,FALSE) * 1000) * VLOOKUP($A41,'volatile solids and nex'!$B$4:$V$53,11,FALSE)</f>
        <v>10335000</v>
      </c>
      <c r="H41" s="38">
        <f>(VLOOKUP($A41,'Beef Animal Numbers'!$B$2:$I$52,7,FALSE) * 1000) * VLOOKUP($A41,'volatile solids and nex'!$B$4:$V$53,10,FALSE)</f>
        <v>5838000</v>
      </c>
      <c r="I41" s="103">
        <f>(VLOOKUP($A41,'Beef Animal Numbers'!$B$2:$I$52,8,FALSE) * 1000) * VLOOKUP($A41,'volatile solids and nex'!$B$4:$V$53,11,FALSE)</f>
        <v>3445000</v>
      </c>
      <c r="J41" s="102">
        <f>(VLOOKUP($A41,'Beef Animal Numbers'!$B$2:$E$52,2,FALSE) * 1000) * VLOOKUP($A41,'volatile solids and nex'!$B$4:$W$53,22,FALSE)</f>
        <v>40050</v>
      </c>
      <c r="K41" s="38">
        <f>(VLOOKUP($A41,'Beef Animal Numbers'!$B$2:$E$52,3,FALSE) * 1000) * VLOOKUP($A41,'volatile solids and nex'!$B$4:$W$53,16,FALSE)</f>
        <v>13067000</v>
      </c>
      <c r="L41" s="38">
        <f>(VLOOKUP($A41,'Beef Animal Numbers'!$B$2:$E$52,4,FALSE) * 1000) * VLOOKUP($A41,'volatile solids and nex'!$B$4:$W$53,20,FALSE)</f>
        <v>120000</v>
      </c>
      <c r="M41" s="38">
        <f>(VLOOKUP($A41,'Beef Animal Numbers'!$B$2:$I$52,5,FALSE) * 1000) * VLOOKUP($A41,'volatile solids and nex'!$B$4:$W$53,17,FALSE)</f>
        <v>300000</v>
      </c>
      <c r="N41" s="38">
        <f>(VLOOKUP($A41,'Beef Animal Numbers'!$B$2:$I$52,6,FALSE) * 1000) * VLOOKUP($A41,'volatile solids and nex'!$B$4:$W$53,19,FALSE)</f>
        <v>870000</v>
      </c>
      <c r="O41" s="38">
        <f>(VLOOKUP($A41,'Beef Animal Numbers'!$B$2:$I$52,7,FALSE) * 1000) * VLOOKUP($A41,'volatile solids and nex'!$B$4:$W$53,18,FALSE)</f>
        <v>246000</v>
      </c>
      <c r="P41" s="103">
        <f>(VLOOKUP($A41,'Beef Animal Numbers'!$B$2:$I$52,8,FALSE) * 1000) * VLOOKUP($A41,'volatile solids and nex'!$B$4:$W$53,19,FALSE)</f>
        <v>290000</v>
      </c>
      <c r="Q41" s="33">
        <v>0.33</v>
      </c>
      <c r="R41" s="33">
        <v>0.17</v>
      </c>
      <c r="S41" s="104">
        <v>0.47</v>
      </c>
      <c r="T41" s="33">
        <f>VLOOKUP(A41,'avg ann temp, manure EFs'!$B$3:$J$52,6,FALSE)</f>
        <v>1.5</v>
      </c>
      <c r="U41" s="33">
        <v>100</v>
      </c>
      <c r="V41" s="34">
        <v>100</v>
      </c>
      <c r="W41" s="34">
        <f t="shared" si="13"/>
        <v>362.48121140000001</v>
      </c>
      <c r="X41" s="34">
        <f t="shared" si="0"/>
        <v>157452.67702599999</v>
      </c>
      <c r="Y41" s="34">
        <f t="shared" si="1"/>
        <v>4391.0460000000003</v>
      </c>
      <c r="Z41" s="34">
        <f t="shared" si="2"/>
        <v>3481.4699159999996</v>
      </c>
      <c r="AA41" s="34">
        <f t="shared" si="3"/>
        <v>5466.5742300000002</v>
      </c>
      <c r="AB41" s="34">
        <f t="shared" si="4"/>
        <v>3087.9400439999995</v>
      </c>
      <c r="AC41" s="34">
        <f t="shared" si="5"/>
        <v>1822.1914099999999</v>
      </c>
      <c r="AD41" s="105">
        <f t="shared" si="6"/>
        <v>1.2294928800000001E-4</v>
      </c>
      <c r="AE41" s="105">
        <f t="shared" si="15"/>
        <v>4.8068533474471993E-3</v>
      </c>
      <c r="AF41" s="105">
        <f t="shared" si="14"/>
        <v>3.084288625E-2</v>
      </c>
      <c r="AG41" s="106">
        <f t="shared" si="7"/>
        <v>4.9971428571428573E-4</v>
      </c>
      <c r="AH41" s="107">
        <f t="shared" si="8"/>
        <v>9.2528658750000003E-4</v>
      </c>
      <c r="AI41" s="107">
        <f t="shared" si="9"/>
        <v>1.2243000000000001E-4</v>
      </c>
      <c r="AJ41" s="105">
        <f t="shared" si="10"/>
        <v>6.2214428571428571E-4</v>
      </c>
      <c r="AK41" s="105">
        <f t="shared" si="11"/>
        <v>3.1768172837499997E-2</v>
      </c>
      <c r="AL41" s="108">
        <f t="shared" si="12"/>
        <v>3.732011975866148E-2</v>
      </c>
      <c r="AM41" s="45"/>
      <c r="AN41" s="45"/>
      <c r="AO41" s="45"/>
    </row>
    <row r="42" spans="1:41" ht="15.75" customHeight="1">
      <c r="A42" s="110" t="s">
        <v>75</v>
      </c>
      <c r="B42" s="45" t="s">
        <v>104</v>
      </c>
      <c r="C42" s="102">
        <f>(VLOOKUP($A42,'Beef Animal Numbers'!$B$2:$E$52,2,FALSE) * 1000) * VLOOKUP($A42,'volatile solids and nex'!$B$4:$V$53,13,FALSE)</f>
        <v>6853000</v>
      </c>
      <c r="D42" s="38">
        <f>(VLOOKUP($A42,'Beef Animal Numbers'!$B$2:$E$52,3,FALSE) * 1000) * VLOOKUP($A42,'volatile solids and nex'!$B$4:$V$53,8,FALSE)</f>
        <v>2829621000</v>
      </c>
      <c r="E42" s="38">
        <f>(VLOOKUP($A42,'Beef Animal Numbers'!$B$2:$E$52,4,FALSE) * 1000) * VLOOKUP($A42,'volatile solids and nex'!$B$4:$V$53,12,FALSE)</f>
        <v>299937000</v>
      </c>
      <c r="F42" s="38">
        <f>(VLOOKUP($A42,'Beef Animal Numbers'!$B$2:$I$52,5,FALSE) * 1000) * VLOOKUP($A42,'volatile solids and nex'!$B$4:$V$53,9,FALSE)</f>
        <v>86700000</v>
      </c>
      <c r="G42" s="38">
        <f>(VLOOKUP($A42,'Beef Animal Numbers'!$B$2:$I$52,6,FALSE) * 1000) * VLOOKUP($A42,'volatile solids and nex'!$B$4:$V$53,11,FALSE)</f>
        <v>139178000</v>
      </c>
      <c r="H42" s="38">
        <f>(VLOOKUP($A42,'Beef Animal Numbers'!$B$2:$I$52,7,FALSE) * 1000) * VLOOKUP($A42,'volatile solids and nex'!$B$4:$V$53,10,FALSE)</f>
        <v>301876000</v>
      </c>
      <c r="I42" s="103">
        <f>(VLOOKUP($A42,'Beef Animal Numbers'!$B$2:$I$52,8,FALSE) * 1000) * VLOOKUP($A42,'volatile solids and nex'!$B$4:$V$53,11,FALSE)</f>
        <v>148135000</v>
      </c>
      <c r="J42" s="102">
        <f>(VLOOKUP($A42,'Beef Animal Numbers'!$B$2:$E$52,2,FALSE) * 1000) * VLOOKUP($A42,'volatile solids and nex'!$B$4:$W$53,22,FALSE)</f>
        <v>400500</v>
      </c>
      <c r="K42" s="38">
        <f>(VLOOKUP($A42,'Beef Animal Numbers'!$B$2:$E$52,3,FALSE) * 1000) * VLOOKUP($A42,'volatile solids and nex'!$B$4:$W$53,16,FALSE)</f>
        <v>133725000</v>
      </c>
      <c r="L42" s="38">
        <f>(VLOOKUP($A42,'Beef Animal Numbers'!$B$2:$E$52,4,FALSE) * 1000) * VLOOKUP($A42,'volatile solids and nex'!$B$4:$W$53,20,FALSE)</f>
        <v>26820000</v>
      </c>
      <c r="M42" s="38">
        <f>(VLOOKUP($A42,'Beef Animal Numbers'!$B$2:$I$52,5,FALSE) * 1000) * VLOOKUP($A42,'volatile solids and nex'!$B$4:$W$53,17,FALSE)</f>
        <v>4250000</v>
      </c>
      <c r="N42" s="38">
        <f>(VLOOKUP($A42,'Beef Animal Numbers'!$B$2:$I$52,6,FALSE) * 1000) * VLOOKUP($A42,'volatile solids and nex'!$B$4:$W$53,19,FALSE)</f>
        <v>11918000</v>
      </c>
      <c r="O42" s="38">
        <f>(VLOOKUP($A42,'Beef Animal Numbers'!$B$2:$I$52,7,FALSE) * 1000) * VLOOKUP($A42,'volatile solids and nex'!$B$4:$W$53,18,FALSE)</f>
        <v>14018000</v>
      </c>
      <c r="P42" s="103">
        <f>(VLOOKUP($A42,'Beef Animal Numbers'!$B$2:$I$52,8,FALSE) * 1000) * VLOOKUP($A42,'volatile solids and nex'!$B$4:$W$53,19,FALSE)</f>
        <v>12685000</v>
      </c>
      <c r="Q42" s="33">
        <v>0.33</v>
      </c>
      <c r="R42" s="33">
        <v>0.17</v>
      </c>
      <c r="S42" s="104">
        <v>0.47</v>
      </c>
      <c r="T42" s="33">
        <f>VLOOKUP(A42,'avg ann temp, manure EFs'!$B$3:$J$52,6,FALSE)</f>
        <v>1</v>
      </c>
      <c r="U42" s="33">
        <v>100</v>
      </c>
      <c r="V42" s="34">
        <v>100</v>
      </c>
      <c r="W42" s="34">
        <f t="shared" si="13"/>
        <v>3624.8121139999998</v>
      </c>
      <c r="X42" s="34">
        <f t="shared" si="0"/>
        <v>1496694.072498</v>
      </c>
      <c r="Y42" s="34">
        <f t="shared" si="1"/>
        <v>655242.3702</v>
      </c>
      <c r="Z42" s="34">
        <f t="shared" si="2"/>
        <v>45858.924599999991</v>
      </c>
      <c r="AA42" s="34">
        <f t="shared" si="3"/>
        <v>73616.532963999998</v>
      </c>
      <c r="AB42" s="34">
        <f t="shared" si="4"/>
        <v>159673.68768799998</v>
      </c>
      <c r="AC42" s="34">
        <f t="shared" si="5"/>
        <v>78354.230629999991</v>
      </c>
      <c r="AD42" s="105">
        <f t="shared" si="6"/>
        <v>1.8346786365599999E-2</v>
      </c>
      <c r="AE42" s="105">
        <f t="shared" si="15"/>
        <v>5.2019023293832005E-2</v>
      </c>
      <c r="AF42" s="105">
        <f t="shared" si="14"/>
        <v>0.36853199821428567</v>
      </c>
      <c r="AG42" s="106">
        <f t="shared" si="7"/>
        <v>0.11168614285714286</v>
      </c>
      <c r="AH42" s="107">
        <f t="shared" si="8"/>
        <v>1.105595994642857E-2</v>
      </c>
      <c r="AI42" s="107">
        <f t="shared" si="9"/>
        <v>2.7363104999999999E-2</v>
      </c>
      <c r="AJ42" s="105">
        <f t="shared" si="10"/>
        <v>0.13904924785714284</v>
      </c>
      <c r="AK42" s="105">
        <f t="shared" si="11"/>
        <v>0.37958795816071422</v>
      </c>
      <c r="AL42" s="108">
        <f t="shared" si="12"/>
        <v>0.58900301567728897</v>
      </c>
      <c r="AM42" s="45"/>
      <c r="AN42" s="45"/>
      <c r="AO42" s="45"/>
    </row>
    <row r="43" spans="1:41" ht="15.75" customHeight="1">
      <c r="A43" s="110" t="s">
        <v>76</v>
      </c>
      <c r="B43" s="45" t="s">
        <v>104</v>
      </c>
      <c r="C43" s="102">
        <f>(VLOOKUP($A43,'Beef Animal Numbers'!$B$2:$E$52,2,FALSE) * 1000) * VLOOKUP($A43,'volatile solids and nex'!$B$4:$V$53,13,FALSE)</f>
        <v>3488100</v>
      </c>
      <c r="D43" s="38">
        <f>(VLOOKUP($A43,'Beef Animal Numbers'!$B$2:$E$52,3,FALSE) * 1000) * VLOOKUP($A43,'volatile solids and nex'!$B$4:$V$53,8,FALSE)</f>
        <v>1511667000</v>
      </c>
      <c r="E43" s="38">
        <f>(VLOOKUP($A43,'Beef Animal Numbers'!$B$2:$E$52,4,FALSE) * 1000) * VLOOKUP($A43,'volatile solids and nex'!$B$4:$V$53,12,FALSE)</f>
        <v>12730000</v>
      </c>
      <c r="F43" s="38">
        <f>(VLOOKUP($A43,'Beef Animal Numbers'!$B$2:$I$52,5,FALSE) * 1000) * VLOOKUP($A43,'volatile solids and nex'!$B$4:$V$53,9,FALSE)</f>
        <v>31523000</v>
      </c>
      <c r="G43" s="38">
        <f>(VLOOKUP($A43,'Beef Animal Numbers'!$B$2:$I$52,6,FALSE) * 1000) * VLOOKUP($A43,'volatile solids and nex'!$B$4:$V$53,11,FALSE)</f>
        <v>48230000</v>
      </c>
      <c r="H43" s="38">
        <f>(VLOOKUP($A43,'Beef Animal Numbers'!$B$2:$I$52,7,FALSE) * 1000) * VLOOKUP($A43,'volatile solids and nex'!$B$4:$V$53,10,FALSE)</f>
        <v>69083000</v>
      </c>
      <c r="I43" s="103">
        <f>(VLOOKUP($A43,'Beef Animal Numbers'!$B$2:$I$52,8,FALSE) * 1000) * VLOOKUP($A43,'volatile solids and nex'!$B$4:$V$53,11,FALSE)</f>
        <v>27560000</v>
      </c>
      <c r="J43" s="102">
        <f>(VLOOKUP($A43,'Beef Animal Numbers'!$B$2:$E$52,2,FALSE) * 1000) * VLOOKUP($A43,'volatile solids and nex'!$B$4:$W$53,22,FALSE)</f>
        <v>203850</v>
      </c>
      <c r="K43" s="38">
        <f>(VLOOKUP($A43,'Beef Animal Numbers'!$B$2:$E$52,3,FALSE) * 1000) * VLOOKUP($A43,'volatile solids and nex'!$B$4:$W$53,16,FALSE)</f>
        <v>66357000</v>
      </c>
      <c r="L43" s="38">
        <f>(VLOOKUP($A43,'Beef Animal Numbers'!$B$2:$E$52,4,FALSE) * 1000) * VLOOKUP($A43,'volatile solids and nex'!$B$4:$W$53,20,FALSE)</f>
        <v>1140000</v>
      </c>
      <c r="M43" s="38">
        <f>(VLOOKUP($A43,'Beef Animal Numbers'!$B$2:$I$52,5,FALSE) * 1000) * VLOOKUP($A43,'volatile solids and nex'!$B$4:$W$53,17,FALSE)</f>
        <v>1450000</v>
      </c>
      <c r="N43" s="38">
        <f>(VLOOKUP($A43,'Beef Animal Numbers'!$B$2:$I$52,6,FALSE) * 1000) * VLOOKUP($A43,'volatile solids and nex'!$B$4:$W$53,19,FALSE)</f>
        <v>4060000</v>
      </c>
      <c r="O43" s="38">
        <f>(VLOOKUP($A43,'Beef Animal Numbers'!$B$2:$I$52,7,FALSE) * 1000) * VLOOKUP($A43,'volatile solids and nex'!$B$4:$W$53,18,FALSE)</f>
        <v>2911000</v>
      </c>
      <c r="P43" s="103">
        <f>(VLOOKUP($A43,'Beef Animal Numbers'!$B$2:$I$52,8,FALSE) * 1000) * VLOOKUP($A43,'volatile solids and nex'!$B$4:$W$53,19,FALSE)</f>
        <v>2320000</v>
      </c>
      <c r="Q43" s="33">
        <v>0.33</v>
      </c>
      <c r="R43" s="33">
        <v>0.17</v>
      </c>
      <c r="S43" s="104">
        <v>0.47</v>
      </c>
      <c r="T43" s="33">
        <f>VLOOKUP(A43,'avg ann temp, manure EFs'!$B$3:$J$52,6,FALSE)</f>
        <v>1</v>
      </c>
      <c r="U43" s="33">
        <v>100</v>
      </c>
      <c r="V43" s="34">
        <v>100</v>
      </c>
      <c r="W43" s="34">
        <f t="shared" si="13"/>
        <v>1844.9886377999999</v>
      </c>
      <c r="X43" s="34">
        <f t="shared" si="0"/>
        <v>799578.11964599986</v>
      </c>
      <c r="Y43" s="34">
        <f t="shared" si="1"/>
        <v>27809.958000000002</v>
      </c>
      <c r="Z43" s="34">
        <f t="shared" si="2"/>
        <v>16673.712574000001</v>
      </c>
      <c r="AA43" s="34">
        <f t="shared" si="3"/>
        <v>25510.679739999996</v>
      </c>
      <c r="AB43" s="34">
        <f t="shared" si="4"/>
        <v>36540.623853999998</v>
      </c>
      <c r="AC43" s="34">
        <f t="shared" si="5"/>
        <v>14577.531279999999</v>
      </c>
      <c r="AD43" s="105">
        <f t="shared" si="6"/>
        <v>7.7867882400000006E-4</v>
      </c>
      <c r="AE43" s="105">
        <f t="shared" si="15"/>
        <v>2.5052318360490398E-2</v>
      </c>
      <c r="AF43" s="105">
        <f t="shared" si="14"/>
        <v>0.16095349482142857</v>
      </c>
      <c r="AG43" s="106">
        <f t="shared" si="7"/>
        <v>4.7472857142857143E-3</v>
      </c>
      <c r="AH43" s="107">
        <f t="shared" si="8"/>
        <v>4.8286048446428576E-3</v>
      </c>
      <c r="AI43" s="107">
        <f t="shared" si="9"/>
        <v>1.1630850000000001E-3</v>
      </c>
      <c r="AJ43" s="105">
        <f t="shared" si="10"/>
        <v>5.9103707142857146E-3</v>
      </c>
      <c r="AK43" s="105">
        <f t="shared" si="11"/>
        <v>0.16578209966607144</v>
      </c>
      <c r="AL43" s="108">
        <f t="shared" si="12"/>
        <v>0.19752346756484757</v>
      </c>
      <c r="AM43" s="45"/>
      <c r="AN43" s="45"/>
      <c r="AO43" s="45"/>
    </row>
    <row r="44" spans="1:41" ht="15.75" customHeight="1">
      <c r="A44" s="110" t="s">
        <v>77</v>
      </c>
      <c r="B44" s="45" t="s">
        <v>104</v>
      </c>
      <c r="C44" s="102">
        <f>(VLOOKUP($A44,'Beef Animal Numbers'!$B$2:$E$52,2,FALSE) * 1000) * VLOOKUP($A44,'volatile solids and nex'!$B$4:$V$53,13,FALSE)</f>
        <v>17556000</v>
      </c>
      <c r="D44" s="38">
        <f>(VLOOKUP($A44,'Beef Animal Numbers'!$B$2:$E$52,3,FALSE) * 1000) * VLOOKUP($A44,'volatile solids and nex'!$B$4:$V$53,8,FALSE)</f>
        <v>7599910000</v>
      </c>
      <c r="E44" s="38">
        <f>(VLOOKUP($A44,'Beef Animal Numbers'!$B$2:$E$52,4,FALSE) * 1000) * VLOOKUP($A44,'volatile solids and nex'!$B$4:$V$53,12,FALSE)</f>
        <v>2011658000</v>
      </c>
      <c r="F44" s="38">
        <f>(VLOOKUP($A44,'Beef Animal Numbers'!$B$2:$I$52,5,FALSE) * 1000) * VLOOKUP($A44,'volatile solids and nex'!$B$4:$V$53,9,FALSE)</f>
        <v>199468000</v>
      </c>
      <c r="G44" s="38">
        <f>(VLOOKUP($A44,'Beef Animal Numbers'!$B$2:$I$52,6,FALSE) * 1000) * VLOOKUP($A44,'volatile solids and nex'!$B$4:$V$53,11,FALSE)</f>
        <v>308672000</v>
      </c>
      <c r="H44" s="38">
        <f>(VLOOKUP($A44,'Beef Animal Numbers'!$B$2:$I$52,7,FALSE) * 1000) * VLOOKUP($A44,'volatile solids and nex'!$B$4:$V$53,10,FALSE)</f>
        <v>1185114000</v>
      </c>
      <c r="I44" s="103">
        <f>(VLOOKUP($A44,'Beef Animal Numbers'!$B$2:$I$52,8,FALSE) * 1000) * VLOOKUP($A44,'volatile solids and nex'!$B$4:$V$53,11,FALSE)</f>
        <v>498147000</v>
      </c>
      <c r="J44" s="102">
        <f>(VLOOKUP($A44,'Beef Animal Numbers'!$B$2:$E$52,2,FALSE) * 1000) * VLOOKUP($A44,'volatile solids and nex'!$B$4:$W$53,22,FALSE)</f>
        <v>1026000</v>
      </c>
      <c r="K44" s="38">
        <f>(VLOOKUP($A44,'Beef Animal Numbers'!$B$2:$E$52,3,FALSE) * 1000) * VLOOKUP($A44,'volatile solids and nex'!$B$4:$W$53,16,FALSE)</f>
        <v>333610000</v>
      </c>
      <c r="L44" s="38">
        <f>(VLOOKUP($A44,'Beef Animal Numbers'!$B$2:$E$52,4,FALSE) * 1000) * VLOOKUP($A44,'volatile solids and nex'!$B$4:$W$53,20,FALSE)</f>
        <v>179880000</v>
      </c>
      <c r="M44" s="38">
        <f>(VLOOKUP($A44,'Beef Animal Numbers'!$B$2:$I$52,5,FALSE) * 1000) * VLOOKUP($A44,'volatile solids and nex'!$B$4:$W$53,17,FALSE)</f>
        <v>9024000</v>
      </c>
      <c r="N44" s="38">
        <f>(VLOOKUP($A44,'Beef Animal Numbers'!$B$2:$I$52,6,FALSE) * 1000) * VLOOKUP($A44,'volatile solids and nex'!$B$4:$W$53,19,FALSE)</f>
        <v>26432000</v>
      </c>
      <c r="O44" s="38">
        <f>(VLOOKUP($A44,'Beef Animal Numbers'!$B$2:$I$52,7,FALSE) * 1000) * VLOOKUP($A44,'volatile solids and nex'!$B$4:$W$53,18,FALSE)</f>
        <v>49938000</v>
      </c>
      <c r="P44" s="103">
        <f>(VLOOKUP($A44,'Beef Animal Numbers'!$B$2:$I$52,8,FALSE) * 1000) * VLOOKUP($A44,'volatile solids and nex'!$B$4:$W$53,19,FALSE)</f>
        <v>42657000</v>
      </c>
      <c r="Q44" s="33">
        <v>0.33</v>
      </c>
      <c r="R44" s="33">
        <v>0.17</v>
      </c>
      <c r="S44" s="104">
        <v>0.47</v>
      </c>
      <c r="T44" s="33">
        <f>VLOOKUP(A44,'avg ann temp, manure EFs'!$B$3:$J$52,6,FALSE)</f>
        <v>1.5</v>
      </c>
      <c r="U44" s="33">
        <v>100</v>
      </c>
      <c r="V44" s="34">
        <v>100</v>
      </c>
      <c r="W44" s="34">
        <f t="shared" si="13"/>
        <v>9286.0355280000003</v>
      </c>
      <c r="X44" s="34">
        <f t="shared" si="0"/>
        <v>4019881.1955800001</v>
      </c>
      <c r="Y44" s="34">
        <f t="shared" si="1"/>
        <v>6592002.1002000002</v>
      </c>
      <c r="Z44" s="34">
        <f t="shared" si="2"/>
        <v>105506.204984</v>
      </c>
      <c r="AA44" s="34">
        <f t="shared" si="3"/>
        <v>163268.350336</v>
      </c>
      <c r="AB44" s="34">
        <f t="shared" si="4"/>
        <v>626851.82893199997</v>
      </c>
      <c r="AC44" s="34">
        <f t="shared" si="5"/>
        <v>263488.87788599997</v>
      </c>
      <c r="AD44" s="105">
        <f t="shared" si="6"/>
        <v>0.18457605880560002</v>
      </c>
      <c r="AE44" s="105">
        <f t="shared" si="15"/>
        <v>0.145271909810888</v>
      </c>
      <c r="AF44" s="105">
        <f t="shared" si="14"/>
        <v>0.96338043214285718</v>
      </c>
      <c r="AG44" s="106">
        <f t="shared" si="7"/>
        <v>0.74907171428571429</v>
      </c>
      <c r="AH44" s="107">
        <f t="shared" si="8"/>
        <v>2.8901412964285715E-2</v>
      </c>
      <c r="AI44" s="107">
        <f t="shared" si="9"/>
        <v>0.18352257</v>
      </c>
      <c r="AJ44" s="105">
        <f t="shared" si="10"/>
        <v>0.93259428428571423</v>
      </c>
      <c r="AK44" s="105">
        <f t="shared" si="11"/>
        <v>0.9922818451071429</v>
      </c>
      <c r="AL44" s="108">
        <f t="shared" si="12"/>
        <v>2.254724098009345</v>
      </c>
      <c r="AM44" s="45"/>
      <c r="AN44" s="45"/>
      <c r="AO44" s="45"/>
    </row>
    <row r="45" spans="1:41" ht="15.75" customHeight="1">
      <c r="A45" s="110" t="s">
        <v>78</v>
      </c>
      <c r="B45" s="45" t="s">
        <v>104</v>
      </c>
      <c r="C45" s="102">
        <f>(VLOOKUP($A45,'Beef Animal Numbers'!$B$2:$E$52,2,FALSE) * 1000) * VLOOKUP($A45,'volatile solids and nex'!$B$4:$V$53,13,FALSE)</f>
        <v>1378300</v>
      </c>
      <c r="D45" s="38">
        <f>(VLOOKUP($A45,'Beef Animal Numbers'!$B$2:$E$52,3,FALSE) * 1000) * VLOOKUP($A45,'volatile solids and nex'!$B$4:$V$53,8,FALSE)</f>
        <v>676620000</v>
      </c>
      <c r="E45" s="38">
        <f>(VLOOKUP($A45,'Beef Animal Numbers'!$B$2:$E$52,4,FALSE) * 1000) * VLOOKUP($A45,'volatile solids and nex'!$B$4:$V$53,12,FALSE)</f>
        <v>14112000</v>
      </c>
      <c r="F45" s="38">
        <f>(VLOOKUP($A45,'Beef Animal Numbers'!$B$2:$I$52,5,FALSE) * 1000) * VLOOKUP($A45,'volatile solids and nex'!$B$4:$V$53,9,FALSE)</f>
        <v>24960000</v>
      </c>
      <c r="G45" s="38">
        <f>(VLOOKUP($A45,'Beef Animal Numbers'!$B$2:$I$52,6,FALSE) * 1000) * VLOOKUP($A45,'volatile solids and nex'!$B$4:$V$53,11,FALSE)</f>
        <v>33072000</v>
      </c>
      <c r="H45" s="38">
        <f>(VLOOKUP($A45,'Beef Animal Numbers'!$B$2:$I$52,7,FALSE) * 1000) * VLOOKUP($A45,'volatile solids and nex'!$B$4:$V$53,10,FALSE)</f>
        <v>41403000</v>
      </c>
      <c r="I45" s="103">
        <f>(VLOOKUP($A45,'Beef Animal Numbers'!$B$2:$I$52,8,FALSE) * 1000) * VLOOKUP($A45,'volatile solids and nex'!$B$4:$V$53,11,FALSE)</f>
        <v>19292000</v>
      </c>
      <c r="J45" s="102">
        <f>(VLOOKUP($A45,'Beef Animal Numbers'!$B$2:$E$52,2,FALSE) * 1000) * VLOOKUP($A45,'volatile solids and nex'!$B$4:$W$53,22,FALSE)</f>
        <v>80550</v>
      </c>
      <c r="K45" s="38">
        <f>(VLOOKUP($A45,'Beef Animal Numbers'!$B$2:$E$52,3,FALSE) * 1000) * VLOOKUP($A45,'volatile solids and nex'!$B$4:$W$53,16,FALSE)</f>
        <v>21122000</v>
      </c>
      <c r="L45" s="38">
        <f>(VLOOKUP($A45,'Beef Animal Numbers'!$B$2:$E$52,4,FALSE) * 1000) * VLOOKUP($A45,'volatile solids and nex'!$B$4:$W$53,20,FALSE)</f>
        <v>1260000</v>
      </c>
      <c r="M45" s="38">
        <f>(VLOOKUP($A45,'Beef Animal Numbers'!$B$2:$I$52,5,FALSE) * 1000) * VLOOKUP($A45,'volatile solids and nex'!$B$4:$W$53,17,FALSE)</f>
        <v>800000</v>
      </c>
      <c r="N45" s="38">
        <f>(VLOOKUP($A45,'Beef Animal Numbers'!$B$2:$I$52,6,FALSE) * 1000) * VLOOKUP($A45,'volatile solids and nex'!$B$4:$W$53,19,FALSE)</f>
        <v>2832000</v>
      </c>
      <c r="O45" s="38">
        <f>(VLOOKUP($A45,'Beef Animal Numbers'!$B$2:$I$52,7,FALSE) * 1000) * VLOOKUP($A45,'volatile solids and nex'!$B$4:$W$53,18,FALSE)</f>
        <v>1221000</v>
      </c>
      <c r="P45" s="103">
        <f>(VLOOKUP($A45,'Beef Animal Numbers'!$B$2:$I$52,8,FALSE) * 1000) * VLOOKUP($A45,'volatile solids and nex'!$B$4:$W$53,19,FALSE)</f>
        <v>1652000</v>
      </c>
      <c r="Q45" s="33">
        <v>0.33</v>
      </c>
      <c r="R45" s="33">
        <v>0.17</v>
      </c>
      <c r="S45" s="104">
        <v>0.47</v>
      </c>
      <c r="T45" s="33">
        <f>VLOOKUP(A45,'avg ann temp, manure EFs'!$B$3:$J$52,6,FALSE)</f>
        <v>1</v>
      </c>
      <c r="U45" s="33">
        <v>100</v>
      </c>
      <c r="V45" s="34">
        <v>100</v>
      </c>
      <c r="W45" s="34">
        <f t="shared" si="13"/>
        <v>729.03524540000012</v>
      </c>
      <c r="X45" s="34">
        <f t="shared" si="0"/>
        <v>357890.02956</v>
      </c>
      <c r="Y45" s="34">
        <f t="shared" si="1"/>
        <v>30829.075199999999</v>
      </c>
      <c r="Z45" s="34">
        <f t="shared" si="2"/>
        <v>13202.29248</v>
      </c>
      <c r="AA45" s="34">
        <f t="shared" si="3"/>
        <v>17493.037536</v>
      </c>
      <c r="AB45" s="34">
        <f t="shared" si="4"/>
        <v>21899.620013999996</v>
      </c>
      <c r="AC45" s="34">
        <f t="shared" si="5"/>
        <v>10204.271896</v>
      </c>
      <c r="AD45" s="105">
        <f t="shared" si="6"/>
        <v>8.6321410560000005E-4</v>
      </c>
      <c r="AE45" s="105">
        <f t="shared" si="15"/>
        <v>1.17997120284792E-2</v>
      </c>
      <c r="AF45" s="105">
        <f t="shared" si="14"/>
        <v>5.7691077321428579E-2</v>
      </c>
      <c r="AG45" s="106">
        <f t="shared" si="7"/>
        <v>5.2469999999999999E-3</v>
      </c>
      <c r="AH45" s="107">
        <f t="shared" si="8"/>
        <v>1.7307323196428571E-3</v>
      </c>
      <c r="AI45" s="107">
        <f t="shared" si="9"/>
        <v>1.2855150000000001E-3</v>
      </c>
      <c r="AJ45" s="105">
        <f t="shared" si="10"/>
        <v>6.532515E-3</v>
      </c>
      <c r="AK45" s="105">
        <f t="shared" si="11"/>
        <v>5.9421809641071438E-2</v>
      </c>
      <c r="AL45" s="108">
        <f t="shared" si="12"/>
        <v>7.8617250775150638E-2</v>
      </c>
      <c r="AM45" s="45"/>
      <c r="AN45" s="45"/>
      <c r="AO45" s="45"/>
    </row>
    <row r="46" spans="1:41" ht="15.75" customHeight="1">
      <c r="A46" s="110" t="s">
        <v>79</v>
      </c>
      <c r="B46" s="45" t="s">
        <v>104</v>
      </c>
      <c r="C46" s="102">
        <f>(VLOOKUP($A46,'Beef Animal Numbers'!$B$2:$E$52,2,FALSE) * 1000) * VLOOKUP($A46,'volatile solids and nex'!$B$4:$V$53,13,FALSE)</f>
        <v>2402400</v>
      </c>
      <c r="D46" s="38">
        <f>(VLOOKUP($A46,'Beef Animal Numbers'!$B$2:$E$52,3,FALSE) * 1000) * VLOOKUP($A46,'volatile solids and nex'!$B$4:$V$53,8,FALSE)</f>
        <v>1041038000</v>
      </c>
      <c r="E46" s="38">
        <f>(VLOOKUP($A46,'Beef Animal Numbers'!$B$2:$E$52,4,FALSE) * 1000) * VLOOKUP($A46,'volatile solids and nex'!$B$4:$V$53,12,FALSE)</f>
        <v>12730000</v>
      </c>
      <c r="F46" s="38">
        <f>(VLOOKUP($A46,'Beef Animal Numbers'!$B$2:$I$52,5,FALSE) * 1000) * VLOOKUP($A46,'volatile solids and nex'!$B$4:$V$53,9,FALSE)</f>
        <v>23914000</v>
      </c>
      <c r="G46" s="38">
        <f>(VLOOKUP($A46,'Beef Animal Numbers'!$B$2:$I$52,6,FALSE) * 1000) * VLOOKUP($A46,'volatile solids and nex'!$B$4:$V$53,11,FALSE)</f>
        <v>35828000</v>
      </c>
      <c r="H46" s="38">
        <f>(VLOOKUP($A46,'Beef Animal Numbers'!$B$2:$I$52,7,FALSE) * 1000) * VLOOKUP($A46,'volatile solids and nex'!$B$4:$V$53,10,FALSE)</f>
        <v>73948000</v>
      </c>
      <c r="I46" s="103">
        <f>(VLOOKUP($A46,'Beef Animal Numbers'!$B$2:$I$52,8,FALSE) * 1000) * VLOOKUP($A46,'volatile solids and nex'!$B$4:$V$53,11,FALSE)</f>
        <v>20670000</v>
      </c>
      <c r="J46" s="102">
        <f>(VLOOKUP($A46,'Beef Animal Numbers'!$B$2:$E$52,2,FALSE) * 1000) * VLOOKUP($A46,'volatile solids and nex'!$B$4:$W$53,22,FALSE)</f>
        <v>140400</v>
      </c>
      <c r="K46" s="38">
        <f>(VLOOKUP($A46,'Beef Animal Numbers'!$B$2:$E$52,3,FALSE) * 1000) * VLOOKUP($A46,'volatile solids and nex'!$B$4:$W$53,16,FALSE)</f>
        <v>45698000</v>
      </c>
      <c r="L46" s="38">
        <f>(VLOOKUP($A46,'Beef Animal Numbers'!$B$2:$E$52,4,FALSE) * 1000) * VLOOKUP($A46,'volatile solids and nex'!$B$4:$W$53,20,FALSE)</f>
        <v>1140000</v>
      </c>
      <c r="M46" s="38">
        <f>(VLOOKUP($A46,'Beef Animal Numbers'!$B$2:$I$52,5,FALSE) * 1000) * VLOOKUP($A46,'volatile solids and nex'!$B$4:$W$53,17,FALSE)</f>
        <v>1100000</v>
      </c>
      <c r="N46" s="38">
        <f>(VLOOKUP($A46,'Beef Animal Numbers'!$B$2:$I$52,6,FALSE) * 1000) * VLOOKUP($A46,'volatile solids and nex'!$B$4:$W$53,19,FALSE)</f>
        <v>3016000</v>
      </c>
      <c r="O46" s="38">
        <f>(VLOOKUP($A46,'Beef Animal Numbers'!$B$2:$I$52,7,FALSE) * 1000) * VLOOKUP($A46,'volatile solids and nex'!$B$4:$W$53,18,FALSE)</f>
        <v>3116000</v>
      </c>
      <c r="P46" s="103">
        <f>(VLOOKUP($A46,'Beef Animal Numbers'!$B$2:$I$52,8,FALSE) * 1000) * VLOOKUP($A46,'volatile solids and nex'!$B$4:$W$53,19,FALSE)</f>
        <v>1740000</v>
      </c>
      <c r="Q46" s="33">
        <v>0.33</v>
      </c>
      <c r="R46" s="33">
        <v>0.17</v>
      </c>
      <c r="S46" s="104">
        <v>0.47</v>
      </c>
      <c r="T46" s="33">
        <f>VLOOKUP(A46,'avg ann temp, manure EFs'!$B$3:$J$52,6,FALSE)</f>
        <v>1</v>
      </c>
      <c r="U46" s="33">
        <v>100</v>
      </c>
      <c r="V46" s="34">
        <v>100</v>
      </c>
      <c r="W46" s="34">
        <f t="shared" si="13"/>
        <v>1270.7206512</v>
      </c>
      <c r="X46" s="34">
        <f t="shared" si="0"/>
        <v>550644.55764399993</v>
      </c>
      <c r="Y46" s="34">
        <f t="shared" si="1"/>
        <v>27809.958000000002</v>
      </c>
      <c r="Z46" s="34">
        <f t="shared" si="2"/>
        <v>12649.023331999999</v>
      </c>
      <c r="AA46" s="34">
        <f t="shared" si="3"/>
        <v>18950.790663999996</v>
      </c>
      <c r="AB46" s="34">
        <f t="shared" si="4"/>
        <v>39113.907223999995</v>
      </c>
      <c r="AC46" s="34">
        <f t="shared" si="5"/>
        <v>10933.14846</v>
      </c>
      <c r="AD46" s="105">
        <f t="shared" si="6"/>
        <v>7.7867882400000006E-4</v>
      </c>
      <c r="AE46" s="105">
        <f t="shared" si="15"/>
        <v>1.77397401433056E-2</v>
      </c>
      <c r="AF46" s="105">
        <f t="shared" si="14"/>
        <v>0.11412308285714284</v>
      </c>
      <c r="AG46" s="106">
        <f t="shared" si="7"/>
        <v>4.7472857142857143E-3</v>
      </c>
      <c r="AH46" s="107">
        <f t="shared" si="8"/>
        <v>3.4236924857142855E-3</v>
      </c>
      <c r="AI46" s="107">
        <f t="shared" si="9"/>
        <v>1.1630850000000001E-3</v>
      </c>
      <c r="AJ46" s="105">
        <f t="shared" si="10"/>
        <v>5.9103707142857146E-3</v>
      </c>
      <c r="AK46" s="105">
        <f t="shared" si="11"/>
        <v>0.11754677534285712</v>
      </c>
      <c r="AL46" s="108">
        <f t="shared" si="12"/>
        <v>0.14197556502444844</v>
      </c>
      <c r="AM46" s="45"/>
      <c r="AN46" s="45"/>
      <c r="AO46" s="45"/>
    </row>
    <row r="47" spans="1:41" ht="15.75" customHeight="1">
      <c r="A47" s="110" t="s">
        <v>80</v>
      </c>
      <c r="B47" s="45" t="s">
        <v>104</v>
      </c>
      <c r="C47" s="102">
        <f>(VLOOKUP($A47,'Beef Animal Numbers'!$B$2:$E$52,2,FALSE) * 1000) * VLOOKUP($A47,'volatile solids and nex'!$B$4:$V$53,13,FALSE)</f>
        <v>46200</v>
      </c>
      <c r="D47" s="38">
        <f>(VLOOKUP($A47,'Beef Animal Numbers'!$B$2:$E$52,3,FALSE) * 1000) * VLOOKUP($A47,'volatile solids and nex'!$B$4:$V$53,8,FALSE)</f>
        <v>21736000</v>
      </c>
      <c r="E47" s="38">
        <f>(VLOOKUP($A47,'Beef Animal Numbers'!$B$2:$E$52,4,FALSE) * 1000) * VLOOKUP($A47,'volatile solids and nex'!$B$4:$V$53,12,FALSE)</f>
        <v>671000</v>
      </c>
      <c r="F47" s="38">
        <f>(VLOOKUP($A47,'Beef Animal Numbers'!$B$2:$I$52,5,FALSE) * 1000) * VLOOKUP($A47,'volatile solids and nex'!$B$4:$V$53,9,FALSE)</f>
        <v>1080000</v>
      </c>
      <c r="G47" s="38">
        <f>(VLOOKUP($A47,'Beef Animal Numbers'!$B$2:$I$52,6,FALSE) * 1000) * VLOOKUP($A47,'volatile solids and nex'!$B$4:$V$53,11,FALSE)</f>
        <v>2067000</v>
      </c>
      <c r="H47" s="38">
        <f>(VLOOKUP($A47,'Beef Animal Numbers'!$B$2:$I$52,7,FALSE) * 1000) * VLOOKUP($A47,'volatile solids and nex'!$B$4:$V$53,10,FALSE)</f>
        <v>1958000</v>
      </c>
      <c r="I47" s="103">
        <f>(VLOOKUP($A47,'Beef Animal Numbers'!$B$2:$I$52,8,FALSE) * 1000) * VLOOKUP($A47,'volatile solids and nex'!$B$4:$V$53,11,FALSE)</f>
        <v>2067000</v>
      </c>
      <c r="J47" s="102">
        <f>(VLOOKUP($A47,'Beef Animal Numbers'!$B$2:$E$52,2,FALSE) * 1000) * VLOOKUP($A47,'volatile solids and nex'!$B$4:$W$53,22,FALSE)</f>
        <v>2700</v>
      </c>
      <c r="K47" s="38">
        <f>(VLOOKUP($A47,'Beef Animal Numbers'!$B$2:$E$52,3,FALSE) * 1000) * VLOOKUP($A47,'volatile solids and nex'!$B$4:$W$53,16,FALSE)</f>
        <v>962000</v>
      </c>
      <c r="L47" s="38">
        <f>(VLOOKUP($A47,'Beef Animal Numbers'!$B$2:$E$52,4,FALSE) * 1000) * VLOOKUP($A47,'volatile solids and nex'!$B$4:$W$53,20,FALSE)</f>
        <v>60000</v>
      </c>
      <c r="M47" s="38">
        <f>(VLOOKUP($A47,'Beef Animal Numbers'!$B$2:$I$52,5,FALSE) * 1000) * VLOOKUP($A47,'volatile solids and nex'!$B$4:$W$53,17,FALSE)</f>
        <v>50000</v>
      </c>
      <c r="N47" s="38">
        <f>(VLOOKUP($A47,'Beef Animal Numbers'!$B$2:$I$52,6,FALSE) * 1000) * VLOOKUP($A47,'volatile solids and nex'!$B$4:$W$53,19,FALSE)</f>
        <v>177000</v>
      </c>
      <c r="O47" s="38">
        <f>(VLOOKUP($A47,'Beef Animal Numbers'!$B$2:$I$52,7,FALSE) * 1000) * VLOOKUP($A47,'volatile solids and nex'!$B$4:$W$53,18,FALSE)</f>
        <v>84000</v>
      </c>
      <c r="P47" s="103">
        <f>(VLOOKUP($A47,'Beef Animal Numbers'!$B$2:$I$52,8,FALSE) * 1000) * VLOOKUP($A47,'volatile solids and nex'!$B$4:$W$53,19,FALSE)</f>
        <v>177000</v>
      </c>
      <c r="Q47" s="33">
        <v>0.33</v>
      </c>
      <c r="R47" s="33">
        <v>0.17</v>
      </c>
      <c r="S47" s="104">
        <v>0.47</v>
      </c>
      <c r="T47" s="33">
        <f>VLOOKUP(A47,'avg ann temp, manure EFs'!$B$3:$J$52,6,FALSE)</f>
        <v>1</v>
      </c>
      <c r="U47" s="33">
        <v>100</v>
      </c>
      <c r="V47" s="34">
        <v>100</v>
      </c>
      <c r="W47" s="34">
        <f t="shared" si="13"/>
        <v>24.436935600000002</v>
      </c>
      <c r="X47" s="34">
        <f t="shared" si="0"/>
        <v>11496.996367999998</v>
      </c>
      <c r="Y47" s="34">
        <f t="shared" si="1"/>
        <v>1465.8666000000001</v>
      </c>
      <c r="Z47" s="34">
        <f t="shared" si="2"/>
        <v>571.25303999999994</v>
      </c>
      <c r="AA47" s="34">
        <f t="shared" si="3"/>
        <v>1093.314846</v>
      </c>
      <c r="AB47" s="34">
        <f t="shared" si="4"/>
        <v>1035.6606039999999</v>
      </c>
      <c r="AC47" s="34">
        <f t="shared" si="5"/>
        <v>1093.314846</v>
      </c>
      <c r="AD47" s="105">
        <f t="shared" si="6"/>
        <v>4.1044264799999997E-5</v>
      </c>
      <c r="AE47" s="105">
        <f t="shared" si="15"/>
        <v>4.2881934590879996E-4</v>
      </c>
      <c r="AF47" s="105">
        <f t="shared" si="14"/>
        <v>3.0247289285714285E-3</v>
      </c>
      <c r="AG47" s="106">
        <f t="shared" si="7"/>
        <v>2.4985714285714287E-4</v>
      </c>
      <c r="AH47" s="107">
        <f t="shared" si="8"/>
        <v>9.0741867857142844E-5</v>
      </c>
      <c r="AI47" s="107">
        <f t="shared" si="9"/>
        <v>6.1215000000000003E-5</v>
      </c>
      <c r="AJ47" s="105">
        <f t="shared" si="10"/>
        <v>3.1107214285714286E-4</v>
      </c>
      <c r="AK47" s="105">
        <f t="shared" si="11"/>
        <v>3.1154707964285715E-3</v>
      </c>
      <c r="AL47" s="108">
        <f t="shared" si="12"/>
        <v>3.8964065499945142E-3</v>
      </c>
      <c r="AM47" s="45"/>
      <c r="AN47" s="45"/>
      <c r="AO47" s="45"/>
    </row>
    <row r="48" spans="1:41" ht="15.75" customHeight="1">
      <c r="A48" s="110" t="s">
        <v>81</v>
      </c>
      <c r="B48" s="45" t="s">
        <v>104</v>
      </c>
      <c r="C48" s="102">
        <f>(VLOOKUP($A48,'Beef Animal Numbers'!$B$2:$E$52,2,FALSE) * 1000) * VLOOKUP($A48,'volatile solids and nex'!$B$4:$V$53,13,FALSE)</f>
        <v>877800</v>
      </c>
      <c r="D48" s="38">
        <f>(VLOOKUP($A48,'Beef Animal Numbers'!$B$2:$E$52,3,FALSE) * 1000) * VLOOKUP($A48,'volatile solids and nex'!$B$4:$V$53,8,FALSE)</f>
        <v>430920000</v>
      </c>
      <c r="E48" s="38">
        <f>(VLOOKUP($A48,'Beef Animal Numbers'!$B$2:$E$52,4,FALSE) * 1000) * VLOOKUP($A48,'volatile solids and nex'!$B$4:$V$53,12,FALSE)</f>
        <v>163053000</v>
      </c>
      <c r="F48" s="38">
        <f>(VLOOKUP($A48,'Beef Animal Numbers'!$B$2:$I$52,5,FALSE) * 1000) * VLOOKUP($A48,'volatile solids and nex'!$B$4:$V$53,9,FALSE)</f>
        <v>15769000</v>
      </c>
      <c r="G48" s="38">
        <f>(VLOOKUP($A48,'Beef Animal Numbers'!$B$2:$I$52,6,FALSE) * 1000) * VLOOKUP($A48,'volatile solids and nex'!$B$4:$V$53,11,FALSE)</f>
        <v>22048000</v>
      </c>
      <c r="H48" s="38">
        <f>(VLOOKUP($A48,'Beef Animal Numbers'!$B$2:$I$52,7,FALSE) * 1000) * VLOOKUP($A48,'volatile solids and nex'!$B$4:$V$53,10,FALSE)</f>
        <v>105186000</v>
      </c>
      <c r="I48" s="103">
        <f>(VLOOKUP($A48,'Beef Animal Numbers'!$B$2:$I$52,8,FALSE) * 1000) * VLOOKUP($A48,'volatile solids and nex'!$B$4:$V$53,11,FALSE)</f>
        <v>43407000</v>
      </c>
      <c r="J48" s="102">
        <f>(VLOOKUP($A48,'Beef Animal Numbers'!$B$2:$E$52,2,FALSE) * 1000) * VLOOKUP($A48,'volatile solids and nex'!$B$4:$W$53,22,FALSE)</f>
        <v>51300</v>
      </c>
      <c r="K48" s="38">
        <f>(VLOOKUP($A48,'Beef Animal Numbers'!$B$2:$E$52,3,FALSE) * 1000) * VLOOKUP($A48,'volatile solids and nex'!$B$4:$W$53,16,FALSE)</f>
        <v>13452000</v>
      </c>
      <c r="L48" s="38">
        <f>(VLOOKUP($A48,'Beef Animal Numbers'!$B$2:$E$52,4,FALSE) * 1000) * VLOOKUP($A48,'volatile solids and nex'!$B$4:$W$53,20,FALSE)</f>
        <v>14580000</v>
      </c>
      <c r="M48" s="38">
        <f>(VLOOKUP($A48,'Beef Animal Numbers'!$B$2:$I$52,5,FALSE) * 1000) * VLOOKUP($A48,'volatile solids and nex'!$B$4:$W$53,17,FALSE)</f>
        <v>507000</v>
      </c>
      <c r="N48" s="38">
        <f>(VLOOKUP($A48,'Beef Animal Numbers'!$B$2:$I$52,6,FALSE) * 1000) * VLOOKUP($A48,'volatile solids and nex'!$B$4:$W$53,19,FALSE)</f>
        <v>1888000</v>
      </c>
      <c r="O48" s="38">
        <f>(VLOOKUP($A48,'Beef Animal Numbers'!$B$2:$I$52,7,FALSE) * 1000) * VLOOKUP($A48,'volatile solids and nex'!$B$4:$W$53,18,FALSE)</f>
        <v>3102000</v>
      </c>
      <c r="P48" s="103">
        <f>(VLOOKUP($A48,'Beef Animal Numbers'!$B$2:$I$52,8,FALSE) * 1000) * VLOOKUP($A48,'volatile solids and nex'!$B$4:$W$53,19,FALSE)</f>
        <v>3717000</v>
      </c>
      <c r="Q48" s="33">
        <v>0.33</v>
      </c>
      <c r="R48" s="33">
        <v>0.17</v>
      </c>
      <c r="S48" s="104">
        <v>0.47</v>
      </c>
      <c r="T48" s="33">
        <f>VLOOKUP(A48,'avg ann temp, manure EFs'!$B$3:$J$52,6,FALSE)</f>
        <v>1</v>
      </c>
      <c r="U48" s="33">
        <v>100</v>
      </c>
      <c r="V48" s="34">
        <v>100</v>
      </c>
      <c r="W48" s="34">
        <f t="shared" si="13"/>
        <v>464.30177639999999</v>
      </c>
      <c r="X48" s="34">
        <f t="shared" si="0"/>
        <v>227929.96295999998</v>
      </c>
      <c r="Y48" s="34">
        <f t="shared" si="1"/>
        <v>356205.58380000002</v>
      </c>
      <c r="Z48" s="34">
        <f t="shared" si="2"/>
        <v>8340.8233220000002</v>
      </c>
      <c r="AA48" s="34">
        <f t="shared" si="3"/>
        <v>11662.025024</v>
      </c>
      <c r="AB48" s="34">
        <f t="shared" si="4"/>
        <v>55636.872468000001</v>
      </c>
      <c r="AC48" s="34">
        <f t="shared" si="5"/>
        <v>22959.611765999998</v>
      </c>
      <c r="AD48" s="105">
        <f t="shared" si="6"/>
        <v>9.9737563463999993E-3</v>
      </c>
      <c r="AE48" s="105">
        <f t="shared" si="15"/>
        <v>9.155820724859199E-3</v>
      </c>
      <c r="AF48" s="105">
        <f t="shared" si="14"/>
        <v>4.7300663928571428E-2</v>
      </c>
      <c r="AG48" s="106">
        <f t="shared" si="7"/>
        <v>6.0715285714285708E-2</v>
      </c>
      <c r="AH48" s="107">
        <f t="shared" si="8"/>
        <v>1.4190199178571428E-3</v>
      </c>
      <c r="AI48" s="107">
        <f t="shared" si="9"/>
        <v>1.4875244999999999E-2</v>
      </c>
      <c r="AJ48" s="105">
        <f t="shared" si="10"/>
        <v>7.5590530714285703E-2</v>
      </c>
      <c r="AK48" s="105">
        <f t="shared" si="11"/>
        <v>4.8719683846428573E-2</v>
      </c>
      <c r="AL48" s="108">
        <f t="shared" si="12"/>
        <v>0.14343979163197348</v>
      </c>
      <c r="AM48" s="45"/>
      <c r="AN48" s="45"/>
      <c r="AO48" s="45"/>
    </row>
    <row r="49" spans="1:41" ht="15.75" customHeight="1">
      <c r="A49" s="110" t="s">
        <v>82</v>
      </c>
      <c r="B49" s="45" t="s">
        <v>104</v>
      </c>
      <c r="C49" s="102">
        <f>(VLOOKUP($A49,'Beef Animal Numbers'!$B$2:$E$52,2,FALSE) * 1000) * VLOOKUP($A49,'volatile solids and nex'!$B$4:$V$53,13,FALSE)</f>
        <v>1193500</v>
      </c>
      <c r="D49" s="38">
        <f>(VLOOKUP($A49,'Beef Animal Numbers'!$B$2:$E$52,3,FALSE) * 1000) * VLOOKUP($A49,'volatile solids and nex'!$B$4:$V$53,8,FALSE)</f>
        <v>491970000</v>
      </c>
      <c r="E49" s="38">
        <f>(VLOOKUP($A49,'Beef Animal Numbers'!$B$2:$E$52,4,FALSE) * 1000) * VLOOKUP($A49,'volatile solids and nex'!$B$4:$V$53,12,FALSE)</f>
        <v>171360000</v>
      </c>
      <c r="F49" s="38">
        <f>(VLOOKUP($A49,'Beef Animal Numbers'!$B$2:$I$52,5,FALSE) * 1000) * VLOOKUP($A49,'volatile solids and nex'!$B$4:$V$53,9,FALSE)</f>
        <v>21798000</v>
      </c>
      <c r="G49" s="38">
        <f>(VLOOKUP($A49,'Beef Animal Numbers'!$B$2:$I$52,6,FALSE) * 1000) * VLOOKUP($A49,'volatile solids and nex'!$B$4:$V$53,11,FALSE)</f>
        <v>34450000</v>
      </c>
      <c r="H49" s="38">
        <f>(VLOOKUP($A49,'Beef Animal Numbers'!$B$2:$I$52,7,FALSE) * 1000) * VLOOKUP($A49,'volatile solids and nex'!$B$4:$V$53,10,FALSE)</f>
        <v>144456000</v>
      </c>
      <c r="I49" s="103">
        <f>(VLOOKUP($A49,'Beef Animal Numbers'!$B$2:$I$52,8,FALSE) * 1000) * VLOOKUP($A49,'volatile solids and nex'!$B$4:$V$53,11,FALSE)</f>
        <v>15847000</v>
      </c>
      <c r="J49" s="102">
        <f>(VLOOKUP($A49,'Beef Animal Numbers'!$B$2:$E$52,2,FALSE) * 1000) * VLOOKUP($A49,'volatile solids and nex'!$B$4:$W$53,22,FALSE)</f>
        <v>69750</v>
      </c>
      <c r="K49" s="38">
        <f>(VLOOKUP($A49,'Beef Animal Numbers'!$B$2:$E$52,3,FALSE) * 1000) * VLOOKUP($A49,'volatile solids and nex'!$B$4:$W$53,16,FALSE)</f>
        <v>23250000</v>
      </c>
      <c r="L49" s="38">
        <f>(VLOOKUP($A49,'Beef Animal Numbers'!$B$2:$E$52,4,FALSE) * 1000) * VLOOKUP($A49,'volatile solids and nex'!$B$4:$W$53,20,FALSE)</f>
        <v>15300000</v>
      </c>
      <c r="M49" s="38">
        <f>(VLOOKUP($A49,'Beef Animal Numbers'!$B$2:$I$52,5,FALSE) * 1000) * VLOOKUP($A49,'volatile solids and nex'!$B$4:$W$53,17,FALSE)</f>
        <v>1071000</v>
      </c>
      <c r="N49" s="38">
        <f>(VLOOKUP($A49,'Beef Animal Numbers'!$B$2:$I$52,6,FALSE) * 1000) * VLOOKUP($A49,'volatile solids and nex'!$B$4:$W$53,19,FALSE)</f>
        <v>2950000</v>
      </c>
      <c r="O49" s="38">
        <f>(VLOOKUP($A49,'Beef Animal Numbers'!$B$2:$I$52,7,FALSE) * 1000) * VLOOKUP($A49,'volatile solids and nex'!$B$4:$W$53,18,FALSE)</f>
        <v>6708000</v>
      </c>
      <c r="P49" s="103">
        <f>(VLOOKUP($A49,'Beef Animal Numbers'!$B$2:$I$52,8,FALSE) * 1000) * VLOOKUP($A49,'volatile solids and nex'!$B$4:$W$53,19,FALSE)</f>
        <v>1357000</v>
      </c>
      <c r="Q49" s="33">
        <v>0.33</v>
      </c>
      <c r="R49" s="33">
        <v>0.17</v>
      </c>
      <c r="S49" s="104">
        <v>0.47</v>
      </c>
      <c r="T49" s="33">
        <f>VLOOKUP(A49,'avg ann temp, manure EFs'!$B$3:$J$52,6,FALSE)</f>
        <v>1</v>
      </c>
      <c r="U49" s="33">
        <v>100</v>
      </c>
      <c r="V49" s="34">
        <v>100</v>
      </c>
      <c r="W49" s="34">
        <f t="shared" si="13"/>
        <v>631.28750300000002</v>
      </c>
      <c r="X49" s="34">
        <f t="shared" si="0"/>
        <v>260221.62785999998</v>
      </c>
      <c r="Y49" s="34">
        <f t="shared" si="1"/>
        <v>374353.05600000004</v>
      </c>
      <c r="Z49" s="34">
        <f t="shared" si="2"/>
        <v>11529.790524</v>
      </c>
      <c r="AA49" s="34">
        <f t="shared" si="3"/>
        <v>18221.914099999998</v>
      </c>
      <c r="AB49" s="34">
        <f t="shared" si="4"/>
        <v>76408.267727999992</v>
      </c>
      <c r="AC49" s="34">
        <f t="shared" si="5"/>
        <v>8382.0804859999989</v>
      </c>
      <c r="AD49" s="105">
        <f t="shared" si="6"/>
        <v>1.0481885568000001E-2</v>
      </c>
      <c r="AE49" s="105">
        <f t="shared" si="15"/>
        <v>1.0511059109627997E-2</v>
      </c>
      <c r="AF49" s="105">
        <f t="shared" si="14"/>
        <v>7.3719829464285694E-2</v>
      </c>
      <c r="AG49" s="106">
        <f t="shared" si="7"/>
        <v>6.3713571428571425E-2</v>
      </c>
      <c r="AH49" s="107">
        <f t="shared" si="8"/>
        <v>2.2115948839285713E-3</v>
      </c>
      <c r="AI49" s="107">
        <f t="shared" si="9"/>
        <v>1.5609825000000001E-2</v>
      </c>
      <c r="AJ49" s="105">
        <f t="shared" si="10"/>
        <v>7.9323396428571419E-2</v>
      </c>
      <c r="AK49" s="105">
        <f t="shared" si="11"/>
        <v>7.593142434821426E-2</v>
      </c>
      <c r="AL49" s="108">
        <f t="shared" si="12"/>
        <v>0.17624776545441367</v>
      </c>
      <c r="AM49" s="45"/>
      <c r="AN49" s="45"/>
      <c r="AO49" s="45"/>
    </row>
    <row r="50" spans="1:41" ht="15.75" customHeight="1">
      <c r="A50" s="110" t="s">
        <v>83</v>
      </c>
      <c r="B50" s="45" t="s">
        <v>104</v>
      </c>
      <c r="C50" s="102">
        <f>(VLOOKUP($A50,'Beef Animal Numbers'!$B$2:$E$52,2,FALSE) * 1000) * VLOOKUP($A50,'volatile solids and nex'!$B$4:$V$53,13,FALSE)</f>
        <v>762300</v>
      </c>
      <c r="D50" s="38">
        <f>(VLOOKUP($A50,'Beef Animal Numbers'!$B$2:$E$52,3,FALSE) * 1000) * VLOOKUP($A50,'volatile solids and nex'!$B$4:$V$53,8,FALSE)</f>
        <v>332728000</v>
      </c>
      <c r="E50" s="38">
        <f>(VLOOKUP($A50,'Beef Animal Numbers'!$B$2:$E$52,4,FALSE) * 1000) * VLOOKUP($A50,'volatile solids and nex'!$B$4:$V$53,12,FALSE)</f>
        <v>2684000</v>
      </c>
      <c r="F50" s="38">
        <f>(VLOOKUP($A50,'Beef Animal Numbers'!$B$2:$I$52,5,FALSE) * 1000) * VLOOKUP($A50,'volatile solids and nex'!$B$4:$V$53,9,FALSE)</f>
        <v>8760000</v>
      </c>
      <c r="G50" s="38">
        <f>(VLOOKUP($A50,'Beef Animal Numbers'!$B$2:$I$52,6,FALSE) * 1000) * VLOOKUP($A50,'volatile solids and nex'!$B$4:$V$53,11,FALSE)</f>
        <v>13091000</v>
      </c>
      <c r="H50" s="38">
        <f>(VLOOKUP($A50,'Beef Animal Numbers'!$B$2:$I$52,7,FALSE) * 1000) * VLOOKUP($A50,'volatile solids and nex'!$B$4:$V$53,10,FALSE)</f>
        <v>19580000</v>
      </c>
      <c r="I50" s="103">
        <f>(VLOOKUP($A50,'Beef Animal Numbers'!$B$2:$I$52,8,FALSE) * 1000) * VLOOKUP($A50,'volatile solids and nex'!$B$4:$V$53,11,FALSE)</f>
        <v>6890000</v>
      </c>
      <c r="J50" s="102">
        <f>(VLOOKUP($A50,'Beef Animal Numbers'!$B$2:$E$52,2,FALSE) * 1000) * VLOOKUP($A50,'volatile solids and nex'!$B$4:$W$53,22,FALSE)</f>
        <v>44550</v>
      </c>
      <c r="K50" s="38">
        <f>(VLOOKUP($A50,'Beef Animal Numbers'!$B$2:$E$52,3,FALSE) * 1000) * VLOOKUP($A50,'volatile solids and nex'!$B$4:$W$53,16,FALSE)</f>
        <v>14726000</v>
      </c>
      <c r="L50" s="38">
        <f>(VLOOKUP($A50,'Beef Animal Numbers'!$B$2:$E$52,4,FALSE) * 1000) * VLOOKUP($A50,'volatile solids and nex'!$B$4:$W$53,20,FALSE)</f>
        <v>240000</v>
      </c>
      <c r="M50" s="38">
        <f>(VLOOKUP($A50,'Beef Animal Numbers'!$B$2:$I$52,5,FALSE) * 1000) * VLOOKUP($A50,'volatile solids and nex'!$B$4:$W$53,17,FALSE)</f>
        <v>408000</v>
      </c>
      <c r="N50" s="38">
        <f>(VLOOKUP($A50,'Beef Animal Numbers'!$B$2:$I$52,6,FALSE) * 1000) * VLOOKUP($A50,'volatile solids and nex'!$B$4:$W$53,19,FALSE)</f>
        <v>1121000</v>
      </c>
      <c r="O50" s="38">
        <f>(VLOOKUP($A50,'Beef Animal Numbers'!$B$2:$I$52,7,FALSE) * 1000) * VLOOKUP($A50,'volatile solids and nex'!$B$4:$W$53,18,FALSE)</f>
        <v>840000</v>
      </c>
      <c r="P50" s="103">
        <f>(VLOOKUP($A50,'Beef Animal Numbers'!$B$2:$I$52,8,FALSE) * 1000) * VLOOKUP($A50,'volatile solids and nex'!$B$4:$W$53,19,FALSE)</f>
        <v>590000</v>
      </c>
      <c r="Q50" s="33">
        <v>0.33</v>
      </c>
      <c r="R50" s="33">
        <v>0.17</v>
      </c>
      <c r="S50" s="104">
        <v>0.47</v>
      </c>
      <c r="T50" s="33">
        <f>VLOOKUP(A50,'avg ann temp, manure EFs'!$B$3:$J$52,6,FALSE)</f>
        <v>1</v>
      </c>
      <c r="U50" s="33">
        <v>100</v>
      </c>
      <c r="V50" s="34">
        <v>100</v>
      </c>
      <c r="W50" s="34">
        <f t="shared" si="13"/>
        <v>403.20943740000001</v>
      </c>
      <c r="X50" s="34">
        <f t="shared" si="0"/>
        <v>175992.48286399999</v>
      </c>
      <c r="Y50" s="34">
        <f t="shared" si="1"/>
        <v>5863.4664000000002</v>
      </c>
      <c r="Z50" s="34">
        <f t="shared" si="2"/>
        <v>4633.4968799999997</v>
      </c>
      <c r="AA50" s="34">
        <f t="shared" si="3"/>
        <v>6924.3273579999995</v>
      </c>
      <c r="AB50" s="34">
        <f t="shared" si="4"/>
        <v>10356.606039999999</v>
      </c>
      <c r="AC50" s="34">
        <f t="shared" si="5"/>
        <v>3644.3828199999998</v>
      </c>
      <c r="AD50" s="105">
        <f t="shared" si="6"/>
        <v>1.6417705919999999E-4</v>
      </c>
      <c r="AE50" s="105">
        <f t="shared" si="15"/>
        <v>5.6547261511831993E-3</v>
      </c>
      <c r="AF50" s="105">
        <f t="shared" si="14"/>
        <v>3.6915455892857135E-2</v>
      </c>
      <c r="AG50" s="106">
        <f t="shared" si="7"/>
        <v>9.9942857142857147E-4</v>
      </c>
      <c r="AH50" s="107">
        <f t="shared" si="8"/>
        <v>1.1074636767857142E-3</v>
      </c>
      <c r="AI50" s="107">
        <f t="shared" si="9"/>
        <v>2.4486000000000001E-4</v>
      </c>
      <c r="AJ50" s="105">
        <f t="shared" si="10"/>
        <v>1.2442885714285714E-3</v>
      </c>
      <c r="AK50" s="105">
        <f t="shared" si="11"/>
        <v>3.8022919569642849E-2</v>
      </c>
      <c r="AL50" s="108">
        <f t="shared" si="12"/>
        <v>4.5086111351454621E-2</v>
      </c>
      <c r="AM50" s="45"/>
      <c r="AN50" s="45"/>
      <c r="AO50" s="45"/>
    </row>
    <row r="51" spans="1:41" ht="15.75" customHeight="1">
      <c r="A51" s="110" t="s">
        <v>84</v>
      </c>
      <c r="B51" s="45" t="s">
        <v>104</v>
      </c>
      <c r="C51" s="111">
        <f>(VLOOKUP($A51,'Beef Animal Numbers'!$B$2:$E$52,2,FALSE) * 1000) * VLOOKUP($A51,'volatile solids and nex'!$B$4:$V$53,13,FALSE)</f>
        <v>2779700</v>
      </c>
      <c r="D51" s="112">
        <f>(VLOOKUP($A51,'Beef Animal Numbers'!$B$2:$E$52,3,FALSE) * 1000) * VLOOKUP($A51,'volatile solids and nex'!$B$4:$V$53,8,FALSE)</f>
        <v>1368360000</v>
      </c>
      <c r="E51" s="112">
        <f>(VLOOKUP($A51,'Beef Animal Numbers'!$B$2:$E$52,4,FALSE) * 1000) * VLOOKUP($A51,'volatile solids and nex'!$B$4:$V$53,12,FALSE)</f>
        <v>47641000</v>
      </c>
      <c r="F51" s="112">
        <f>(VLOOKUP($A51,'Beef Animal Numbers'!$B$2:$I$52,5,FALSE) * 1000) * VLOOKUP($A51,'volatile solids and nex'!$B$4:$V$53,9,FALSE)</f>
        <v>47310000</v>
      </c>
      <c r="G51" s="112">
        <f>(VLOOKUP($A51,'Beef Animal Numbers'!$B$2:$I$52,6,FALSE) * 1000) * VLOOKUP($A51,'volatile solids and nex'!$B$4:$V$53,11,FALSE)</f>
        <v>62010000</v>
      </c>
      <c r="H51" s="112">
        <f>(VLOOKUP($A51,'Beef Animal Numbers'!$B$2:$I$52,7,FALSE) * 1000) * VLOOKUP($A51,'volatile solids and nex'!$B$4:$V$53,10,FALSE)</f>
        <v>79449000</v>
      </c>
      <c r="I51" s="113">
        <f>(VLOOKUP($A51,'Beef Animal Numbers'!$B$2:$I$52,8,FALSE) * 1000) * VLOOKUP($A51,'volatile solids and nex'!$B$4:$V$53,11,FALSE)</f>
        <v>40651000</v>
      </c>
      <c r="J51" s="111">
        <f>(VLOOKUP($A51,'Beef Animal Numbers'!$B$2:$E$52,2,FALSE) * 1000) * VLOOKUP($A51,'volatile solids and nex'!$B$4:$W$53,22,FALSE)</f>
        <v>162450</v>
      </c>
      <c r="K51" s="112">
        <f>(VLOOKUP($A51,'Beef Animal Numbers'!$B$2:$E$52,3,FALSE) * 1000) * VLOOKUP($A51,'volatile solids and nex'!$B$4:$W$53,16,FALSE)</f>
        <v>42716000</v>
      </c>
      <c r="L51" s="112">
        <f>(VLOOKUP($A51,'Beef Animal Numbers'!$B$2:$E$52,4,FALSE) * 1000) * VLOOKUP($A51,'volatile solids and nex'!$B$4:$W$53,20,FALSE)</f>
        <v>4260000</v>
      </c>
      <c r="M51" s="112">
        <f>(VLOOKUP($A51,'Beef Animal Numbers'!$B$2:$I$52,5,FALSE) * 1000) * VLOOKUP($A51,'volatile solids and nex'!$B$4:$W$53,17,FALSE)</f>
        <v>1520000</v>
      </c>
      <c r="N51" s="112">
        <f>(VLOOKUP($A51,'Beef Animal Numbers'!$B$2:$I$52,6,FALSE) * 1000) * VLOOKUP($A51,'volatile solids and nex'!$B$4:$W$53,19,FALSE)</f>
        <v>5310000</v>
      </c>
      <c r="O51" s="112">
        <f>(VLOOKUP($A51,'Beef Animal Numbers'!$B$2:$I$52,7,FALSE) * 1000) * VLOOKUP($A51,'volatile solids and nex'!$B$4:$W$53,18,FALSE)</f>
        <v>2343000</v>
      </c>
      <c r="P51" s="113">
        <f>(VLOOKUP($A51,'Beef Animal Numbers'!$B$2:$I$52,8,FALSE) * 1000) * VLOOKUP($A51,'volatile solids and nex'!$B$4:$W$53,19,FALSE)</f>
        <v>3481000</v>
      </c>
      <c r="Q51" s="33">
        <v>0.33</v>
      </c>
      <c r="R51" s="33">
        <v>0.17</v>
      </c>
      <c r="S51" s="104">
        <v>0.47</v>
      </c>
      <c r="T51" s="33">
        <f>VLOOKUP(A51,'avg ann temp, manure EFs'!$B$3:$J$52,6,FALSE)</f>
        <v>1</v>
      </c>
      <c r="U51" s="33">
        <v>100</v>
      </c>
      <c r="V51" s="34">
        <v>100</v>
      </c>
      <c r="W51" s="34">
        <f t="shared" si="13"/>
        <v>1470.2889585999999</v>
      </c>
      <c r="X51" s="34">
        <f t="shared" si="0"/>
        <v>723777.60167999996</v>
      </c>
      <c r="Y51" s="34">
        <f t="shared" si="1"/>
        <v>104076.52860000002</v>
      </c>
      <c r="Z51" s="34">
        <f t="shared" si="2"/>
        <v>25024.056779999999</v>
      </c>
      <c r="AA51" s="34">
        <f t="shared" si="3"/>
        <v>32799.445379999997</v>
      </c>
      <c r="AB51" s="34">
        <f t="shared" si="4"/>
        <v>42023.595161999998</v>
      </c>
      <c r="AC51" s="34">
        <f t="shared" si="5"/>
        <v>21501.858637999998</v>
      </c>
      <c r="AD51" s="105">
        <f t="shared" si="6"/>
        <v>2.9141428008000007E-3</v>
      </c>
      <c r="AE51" s="105">
        <f t="shared" si="15"/>
        <v>2.3704711704760798E-2</v>
      </c>
      <c r="AF51" s="105">
        <f t="shared" si="14"/>
        <v>0.11562649410714285</v>
      </c>
      <c r="AG51" s="106">
        <f t="shared" si="7"/>
        <v>1.7739857142857144E-2</v>
      </c>
      <c r="AH51" s="107">
        <f t="shared" si="8"/>
        <v>3.4687948232142857E-3</v>
      </c>
      <c r="AI51" s="107">
        <f t="shared" si="9"/>
        <v>4.3462650000000011E-3</v>
      </c>
      <c r="AJ51" s="105">
        <f t="shared" si="10"/>
        <v>2.2086122142857146E-2</v>
      </c>
      <c r="AK51" s="105">
        <f t="shared" si="11"/>
        <v>0.11909528893035713</v>
      </c>
      <c r="AL51" s="108">
        <f t="shared" si="12"/>
        <v>0.16780026557877506</v>
      </c>
      <c r="AM51" s="45"/>
      <c r="AN51" s="45"/>
      <c r="AO51" s="45"/>
    </row>
    <row r="52" spans="1:41" ht="15.75" customHeight="1">
      <c r="A52" s="44"/>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114"/>
      <c r="AM52" s="45"/>
      <c r="AN52" s="45"/>
      <c r="AO52" s="45"/>
    </row>
    <row r="53" spans="1:41" ht="15.75" customHeight="1">
      <c r="A53" s="44"/>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114"/>
      <c r="AM53" s="45"/>
      <c r="AN53" s="45"/>
      <c r="AO53" s="45"/>
    </row>
    <row r="54" spans="1:41" ht="15.75" customHeight="1">
      <c r="A54" s="44"/>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114"/>
      <c r="AM54" s="45"/>
      <c r="AN54" s="45"/>
      <c r="AO54" s="45"/>
    </row>
    <row r="55" spans="1:41" ht="15.75" customHeight="1">
      <c r="A55" s="44"/>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114"/>
      <c r="AM55" s="45"/>
      <c r="AN55" s="45"/>
      <c r="AO55" s="45"/>
    </row>
    <row r="56" spans="1:41" ht="15.75" customHeight="1">
      <c r="A56" s="44"/>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114"/>
      <c r="AM56" s="45"/>
      <c r="AN56" s="45"/>
      <c r="AO56" s="45"/>
    </row>
    <row r="57" spans="1:41" ht="15.75" customHeight="1">
      <c r="A57" s="44"/>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114"/>
      <c r="AM57" s="45"/>
      <c r="AN57" s="45"/>
      <c r="AO57" s="45"/>
    </row>
    <row r="58" spans="1:41" ht="15.75" customHeight="1">
      <c r="A58" s="44"/>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114"/>
      <c r="AM58" s="45"/>
      <c r="AN58" s="45"/>
      <c r="AO58" s="45"/>
    </row>
    <row r="59" spans="1:41" ht="15.75" customHeight="1">
      <c r="A59" s="4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114"/>
      <c r="AM59" s="45"/>
      <c r="AN59" s="45"/>
      <c r="AO59" s="45"/>
    </row>
    <row r="60" spans="1:41" ht="15.75" customHeight="1">
      <c r="A60" s="44"/>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114"/>
      <c r="AM60" s="45"/>
      <c r="AN60" s="45"/>
      <c r="AO60" s="45"/>
    </row>
    <row r="61" spans="1:41" ht="15.75" customHeight="1">
      <c r="A61" s="44"/>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114"/>
      <c r="AM61" s="45"/>
      <c r="AN61" s="45"/>
      <c r="AO61" s="45"/>
    </row>
    <row r="62" spans="1:41" ht="15.75" customHeight="1">
      <c r="A62" s="44"/>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114"/>
      <c r="AM62" s="45"/>
      <c r="AN62" s="45"/>
      <c r="AO62" s="45"/>
    </row>
    <row r="63" spans="1:41" ht="15.75" customHeight="1">
      <c r="A63" s="44"/>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114"/>
      <c r="AM63" s="45"/>
      <c r="AN63" s="45"/>
      <c r="AO63" s="45"/>
    </row>
    <row r="64" spans="1:41" ht="15.75" customHeight="1">
      <c r="A64" s="44"/>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114"/>
      <c r="AM64" s="45"/>
      <c r="AN64" s="45"/>
      <c r="AO64" s="45"/>
    </row>
    <row r="65" spans="1:41" ht="15.75" customHeight="1">
      <c r="A65" s="44"/>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114"/>
      <c r="AM65" s="45"/>
      <c r="AN65" s="45"/>
      <c r="AO65" s="45"/>
    </row>
    <row r="66" spans="1:41" ht="15.75" customHeight="1">
      <c r="A66" s="44"/>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114"/>
      <c r="AM66" s="45"/>
      <c r="AN66" s="45"/>
      <c r="AO66" s="45"/>
    </row>
    <row r="67" spans="1:41" ht="15.75" customHeight="1">
      <c r="A67" s="44"/>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114"/>
      <c r="AM67" s="45"/>
      <c r="AN67" s="45"/>
      <c r="AO67" s="45"/>
    </row>
    <row r="68" spans="1:41" ht="15.75" customHeight="1">
      <c r="A68" s="44"/>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114"/>
      <c r="AM68" s="45"/>
      <c r="AN68" s="45"/>
      <c r="AO68" s="45"/>
    </row>
    <row r="69" spans="1:41" ht="15.75" customHeight="1">
      <c r="A69" s="44"/>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114"/>
      <c r="AM69" s="45"/>
      <c r="AN69" s="45"/>
      <c r="AO69" s="45"/>
    </row>
    <row r="70" spans="1:41" ht="15.75" customHeight="1">
      <c r="A70" s="44"/>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114"/>
      <c r="AM70" s="45"/>
      <c r="AN70" s="45"/>
      <c r="AO70" s="45"/>
    </row>
    <row r="71" spans="1:41" ht="15.75" customHeight="1">
      <c r="A71" s="44"/>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114"/>
      <c r="AM71" s="45"/>
      <c r="AN71" s="45"/>
      <c r="AO71" s="45"/>
    </row>
    <row r="72" spans="1:41" ht="15.75" customHeight="1">
      <c r="A72" s="44"/>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114"/>
      <c r="AM72" s="45"/>
      <c r="AN72" s="45"/>
      <c r="AO72" s="45"/>
    </row>
    <row r="73" spans="1:41" ht="15.75" customHeight="1">
      <c r="A73" s="44"/>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114"/>
      <c r="AM73" s="45"/>
      <c r="AN73" s="45"/>
      <c r="AO73" s="45"/>
    </row>
    <row r="74" spans="1:41" ht="15.75" customHeight="1">
      <c r="A74" s="44"/>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114"/>
      <c r="AM74" s="45"/>
      <c r="AN74" s="45"/>
      <c r="AO74" s="45"/>
    </row>
    <row r="75" spans="1:41" ht="15.75" customHeight="1">
      <c r="A75" s="44"/>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114"/>
      <c r="AM75" s="45"/>
      <c r="AN75" s="45"/>
      <c r="AO75" s="45"/>
    </row>
    <row r="76" spans="1:41" ht="15.75" customHeight="1">
      <c r="A76" s="44"/>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114"/>
      <c r="AM76" s="45"/>
      <c r="AN76" s="45"/>
      <c r="AO76" s="45"/>
    </row>
    <row r="77" spans="1:41" ht="15.75" customHeight="1">
      <c r="A77" s="44"/>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114"/>
      <c r="AM77" s="45"/>
      <c r="AN77" s="45"/>
      <c r="AO77" s="45"/>
    </row>
    <row r="78" spans="1:41" ht="15.75" customHeight="1">
      <c r="A78" s="44"/>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114"/>
      <c r="AM78" s="45"/>
      <c r="AN78" s="45"/>
      <c r="AO78" s="45"/>
    </row>
    <row r="79" spans="1:41" ht="15.75" customHeight="1">
      <c r="A79" s="44"/>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114"/>
      <c r="AM79" s="45"/>
      <c r="AN79" s="45"/>
      <c r="AO79" s="45"/>
    </row>
    <row r="80" spans="1:41" ht="15.75" customHeight="1">
      <c r="A80" s="44"/>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114"/>
      <c r="AM80" s="45"/>
      <c r="AN80" s="45"/>
      <c r="AO80" s="45"/>
    </row>
    <row r="81" spans="1:41" ht="15.75" customHeight="1">
      <c r="A81" s="44"/>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114"/>
      <c r="AM81" s="45"/>
      <c r="AN81" s="45"/>
      <c r="AO81" s="45"/>
    </row>
    <row r="82" spans="1:41" ht="15.75" customHeight="1">
      <c r="A82" s="44"/>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114"/>
      <c r="AM82" s="45"/>
      <c r="AN82" s="45"/>
      <c r="AO82" s="45"/>
    </row>
    <row r="83" spans="1:41" ht="15.75" customHeight="1">
      <c r="A83" s="44"/>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114"/>
      <c r="AM83" s="45"/>
      <c r="AN83" s="45"/>
      <c r="AO83" s="45"/>
    </row>
    <row r="84" spans="1:41" ht="15.75" customHeight="1">
      <c r="A84" s="44"/>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114"/>
      <c r="AM84" s="45"/>
      <c r="AN84" s="45"/>
      <c r="AO84" s="45"/>
    </row>
    <row r="85" spans="1:41" ht="15.75" customHeight="1">
      <c r="A85" s="44"/>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114"/>
      <c r="AM85" s="45"/>
      <c r="AN85" s="45"/>
      <c r="AO85" s="45"/>
    </row>
    <row r="86" spans="1:41" ht="15.75" customHeight="1">
      <c r="A86" s="44"/>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114"/>
      <c r="AM86" s="45"/>
      <c r="AN86" s="45"/>
      <c r="AO86" s="45"/>
    </row>
    <row r="87" spans="1:41" ht="15.75" customHeight="1">
      <c r="A87" s="44"/>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114"/>
      <c r="AM87" s="45"/>
      <c r="AN87" s="45"/>
      <c r="AO87" s="45"/>
    </row>
    <row r="88" spans="1:41" ht="15.75" customHeight="1">
      <c r="A88" s="44"/>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114"/>
      <c r="AM88" s="45"/>
      <c r="AN88" s="45"/>
      <c r="AO88" s="45"/>
    </row>
    <row r="89" spans="1:41" ht="15.75" customHeight="1">
      <c r="A89" s="44"/>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114"/>
      <c r="AM89" s="45"/>
      <c r="AN89" s="45"/>
      <c r="AO89" s="45"/>
    </row>
    <row r="90" spans="1:41" ht="15.75" customHeight="1">
      <c r="A90" s="44"/>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114"/>
      <c r="AM90" s="45"/>
      <c r="AN90" s="45"/>
      <c r="AO90" s="45"/>
    </row>
    <row r="91" spans="1:41" ht="15.75" customHeight="1">
      <c r="A91" s="44"/>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114"/>
      <c r="AM91" s="45"/>
      <c r="AN91" s="45"/>
      <c r="AO91" s="45"/>
    </row>
    <row r="92" spans="1:41" ht="15.75" customHeight="1">
      <c r="A92" s="44"/>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114"/>
      <c r="AM92" s="45"/>
      <c r="AN92" s="45"/>
      <c r="AO92" s="45"/>
    </row>
    <row r="93" spans="1:41" ht="15.75" customHeight="1">
      <c r="A93" s="44"/>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114"/>
      <c r="AM93" s="45"/>
      <c r="AN93" s="45"/>
      <c r="AO93" s="45"/>
    </row>
    <row r="94" spans="1:41" ht="15.75" customHeight="1">
      <c r="A94" s="44"/>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114"/>
      <c r="AM94" s="45"/>
      <c r="AN94" s="45"/>
      <c r="AO94" s="45"/>
    </row>
    <row r="95" spans="1:41" ht="15.75" customHeight="1">
      <c r="A95" s="44"/>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114"/>
      <c r="AM95" s="45"/>
      <c r="AN95" s="45"/>
      <c r="AO95" s="45"/>
    </row>
    <row r="96" spans="1:41" ht="15.75" customHeight="1">
      <c r="A96" s="44"/>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114"/>
      <c r="AM96" s="45"/>
      <c r="AN96" s="45"/>
      <c r="AO96" s="45"/>
    </row>
    <row r="97" spans="1:41" ht="15.75" customHeight="1">
      <c r="A97" s="44"/>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114"/>
      <c r="AM97" s="45"/>
      <c r="AN97" s="45"/>
      <c r="AO97" s="45"/>
    </row>
    <row r="98" spans="1:41" ht="15.75" customHeight="1">
      <c r="A98" s="44"/>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114"/>
      <c r="AM98" s="45"/>
      <c r="AN98" s="45"/>
      <c r="AO98" s="45"/>
    </row>
    <row r="99" spans="1:41" ht="15.75" customHeight="1">
      <c r="A99" s="44"/>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114"/>
      <c r="AM99" s="45"/>
      <c r="AN99" s="45"/>
      <c r="AO99" s="45"/>
    </row>
    <row r="100" spans="1:41" ht="15.75" customHeight="1">
      <c r="A100" s="44"/>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114"/>
      <c r="AM100" s="45"/>
      <c r="AN100" s="45"/>
      <c r="AO100" s="45"/>
    </row>
    <row r="101" spans="1:41" ht="15.75" customHeight="1">
      <c r="A101" s="44"/>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114"/>
      <c r="AM101" s="45"/>
      <c r="AN101" s="45"/>
      <c r="AO101" s="45"/>
    </row>
    <row r="102" spans="1:41" ht="15.75" customHeight="1">
      <c r="A102" s="44"/>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114"/>
      <c r="AM102" s="45"/>
      <c r="AN102" s="45"/>
      <c r="AO102" s="45"/>
    </row>
    <row r="103" spans="1:41" ht="15.75" customHeight="1">
      <c r="A103" s="44"/>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114"/>
      <c r="AM103" s="45"/>
      <c r="AN103" s="45"/>
      <c r="AO103" s="45"/>
    </row>
    <row r="104" spans="1:41" ht="15.75" customHeight="1">
      <c r="A104" s="44"/>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114"/>
      <c r="AM104" s="45"/>
      <c r="AN104" s="45"/>
      <c r="AO104" s="45"/>
    </row>
    <row r="105" spans="1:41" ht="15.75" customHeight="1">
      <c r="A105" s="44"/>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114"/>
      <c r="AM105" s="45"/>
      <c r="AN105" s="45"/>
      <c r="AO105" s="45"/>
    </row>
    <row r="106" spans="1:41" ht="15.75" customHeight="1">
      <c r="A106" s="44"/>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114"/>
      <c r="AM106" s="45"/>
      <c r="AN106" s="45"/>
      <c r="AO106" s="45"/>
    </row>
    <row r="107" spans="1:41" ht="15.75" customHeight="1">
      <c r="A107" s="44"/>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114"/>
      <c r="AM107" s="45"/>
      <c r="AN107" s="45"/>
      <c r="AO107" s="45"/>
    </row>
    <row r="108" spans="1:41" ht="15.75" customHeight="1">
      <c r="A108" s="44"/>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114"/>
      <c r="AM108" s="45"/>
      <c r="AN108" s="45"/>
      <c r="AO108" s="45"/>
    </row>
    <row r="109" spans="1:41" ht="15.75" customHeight="1">
      <c r="A109" s="44"/>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114"/>
      <c r="AM109" s="45"/>
      <c r="AN109" s="45"/>
      <c r="AO109" s="45"/>
    </row>
    <row r="110" spans="1:41" ht="15.75" customHeight="1">
      <c r="A110" s="44"/>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114"/>
      <c r="AM110" s="45"/>
      <c r="AN110" s="45"/>
      <c r="AO110" s="45"/>
    </row>
    <row r="111" spans="1:41" ht="15.75" customHeight="1">
      <c r="A111" s="44"/>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114"/>
      <c r="AM111" s="45"/>
      <c r="AN111" s="45"/>
      <c r="AO111" s="45"/>
    </row>
    <row r="112" spans="1:41" ht="15.75" customHeight="1">
      <c r="A112" s="44"/>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114"/>
      <c r="AM112" s="45"/>
      <c r="AN112" s="45"/>
      <c r="AO112" s="45"/>
    </row>
    <row r="113" spans="1:41" ht="15.75" customHeight="1">
      <c r="A113" s="44"/>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114"/>
      <c r="AM113" s="45"/>
      <c r="AN113" s="45"/>
      <c r="AO113" s="45"/>
    </row>
    <row r="114" spans="1:41" ht="15.75" customHeight="1">
      <c r="A114" s="44"/>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114"/>
      <c r="AM114" s="45"/>
      <c r="AN114" s="45"/>
      <c r="AO114" s="45"/>
    </row>
    <row r="115" spans="1:41" ht="15.75" customHeight="1">
      <c r="A115" s="44"/>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114"/>
      <c r="AM115" s="45"/>
      <c r="AN115" s="45"/>
      <c r="AO115" s="45"/>
    </row>
    <row r="116" spans="1:41" ht="15.75" customHeight="1">
      <c r="A116" s="44"/>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114"/>
      <c r="AM116" s="45"/>
      <c r="AN116" s="45"/>
      <c r="AO116" s="45"/>
    </row>
    <row r="117" spans="1:41" ht="15.75" customHeight="1">
      <c r="A117" s="44"/>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114"/>
      <c r="AM117" s="45"/>
      <c r="AN117" s="45"/>
      <c r="AO117" s="45"/>
    </row>
    <row r="118" spans="1:41" ht="15.75" customHeight="1">
      <c r="A118" s="44"/>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114"/>
      <c r="AM118" s="45"/>
      <c r="AN118" s="45"/>
      <c r="AO118" s="45"/>
    </row>
    <row r="119" spans="1:41" ht="15.75" customHeight="1">
      <c r="A119" s="44"/>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114"/>
      <c r="AM119" s="45"/>
      <c r="AN119" s="45"/>
      <c r="AO119" s="45"/>
    </row>
    <row r="120" spans="1:41" ht="15.75" customHeight="1">
      <c r="A120" s="44"/>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114"/>
      <c r="AM120" s="45"/>
      <c r="AN120" s="45"/>
      <c r="AO120" s="45"/>
    </row>
    <row r="121" spans="1:41" ht="15.75" customHeight="1">
      <c r="A121" s="44"/>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114"/>
      <c r="AM121" s="45"/>
      <c r="AN121" s="45"/>
      <c r="AO121" s="45"/>
    </row>
    <row r="122" spans="1:41" ht="15.75" customHeight="1">
      <c r="A122" s="44"/>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114"/>
      <c r="AM122" s="45"/>
      <c r="AN122" s="45"/>
      <c r="AO122" s="45"/>
    </row>
    <row r="123" spans="1:41" ht="15.75" customHeight="1">
      <c r="A123" s="44"/>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114"/>
      <c r="AM123" s="45"/>
      <c r="AN123" s="45"/>
      <c r="AO123" s="45"/>
    </row>
    <row r="124" spans="1:41" ht="15.75" customHeight="1">
      <c r="A124" s="44"/>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114"/>
      <c r="AM124" s="45"/>
      <c r="AN124" s="45"/>
      <c r="AO124" s="45"/>
    </row>
    <row r="125" spans="1:41" ht="15.75" customHeight="1">
      <c r="A125" s="44"/>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114"/>
      <c r="AM125" s="45"/>
      <c r="AN125" s="45"/>
      <c r="AO125" s="45"/>
    </row>
    <row r="126" spans="1:41" ht="15.75" customHeight="1">
      <c r="A126" s="44"/>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114"/>
      <c r="AM126" s="45"/>
      <c r="AN126" s="45"/>
      <c r="AO126" s="45"/>
    </row>
    <row r="127" spans="1:41" ht="15.75" customHeight="1">
      <c r="A127" s="44"/>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114"/>
      <c r="AM127" s="45"/>
      <c r="AN127" s="45"/>
      <c r="AO127" s="45"/>
    </row>
    <row r="128" spans="1:41" ht="15.75" customHeight="1">
      <c r="A128" s="44"/>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114"/>
      <c r="AM128" s="45"/>
      <c r="AN128" s="45"/>
      <c r="AO128" s="45"/>
    </row>
    <row r="129" spans="1:41" ht="15.75" customHeight="1">
      <c r="A129" s="44"/>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114"/>
      <c r="AM129" s="45"/>
      <c r="AN129" s="45"/>
      <c r="AO129" s="45"/>
    </row>
    <row r="130" spans="1:41" ht="15.75" customHeight="1">
      <c r="A130" s="44"/>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114"/>
      <c r="AM130" s="45"/>
      <c r="AN130" s="45"/>
      <c r="AO130" s="45"/>
    </row>
    <row r="131" spans="1:41" ht="15.75" customHeight="1">
      <c r="A131" s="44"/>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114"/>
      <c r="AM131" s="45"/>
      <c r="AN131" s="45"/>
      <c r="AO131" s="45"/>
    </row>
    <row r="132" spans="1:41" ht="15.75" customHeight="1">
      <c r="A132" s="44"/>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114"/>
      <c r="AM132" s="45"/>
      <c r="AN132" s="45"/>
      <c r="AO132" s="45"/>
    </row>
    <row r="133" spans="1:41" ht="15.75" customHeight="1">
      <c r="A133" s="44"/>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114"/>
      <c r="AM133" s="45"/>
      <c r="AN133" s="45"/>
      <c r="AO133" s="45"/>
    </row>
    <row r="134" spans="1:41" ht="15.75" customHeight="1">
      <c r="A134" s="44"/>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114"/>
      <c r="AM134" s="45"/>
      <c r="AN134" s="45"/>
      <c r="AO134" s="45"/>
    </row>
    <row r="135" spans="1:41" ht="15.75" customHeight="1">
      <c r="A135" s="44"/>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114"/>
      <c r="AM135" s="45"/>
      <c r="AN135" s="45"/>
      <c r="AO135" s="45"/>
    </row>
    <row r="136" spans="1:41" ht="15.75" customHeight="1">
      <c r="A136" s="44"/>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114"/>
      <c r="AM136" s="45"/>
      <c r="AN136" s="45"/>
      <c r="AO136" s="45"/>
    </row>
    <row r="137" spans="1:41" ht="15.75" customHeight="1">
      <c r="A137" s="44"/>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114"/>
      <c r="AM137" s="45"/>
      <c r="AN137" s="45"/>
      <c r="AO137" s="45"/>
    </row>
    <row r="138" spans="1:41" ht="15.75" customHeight="1">
      <c r="A138" s="44"/>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114"/>
      <c r="AM138" s="45"/>
      <c r="AN138" s="45"/>
      <c r="AO138" s="45"/>
    </row>
    <row r="139" spans="1:41" ht="15.75" customHeight="1">
      <c r="A139" s="44"/>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114"/>
      <c r="AM139" s="45"/>
      <c r="AN139" s="45"/>
      <c r="AO139" s="45"/>
    </row>
    <row r="140" spans="1:41" ht="15.75" customHeight="1">
      <c r="A140" s="44"/>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114"/>
      <c r="AM140" s="45"/>
      <c r="AN140" s="45"/>
      <c r="AO140" s="45"/>
    </row>
    <row r="141" spans="1:41" ht="15.75" customHeight="1">
      <c r="A141" s="44"/>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114"/>
      <c r="AM141" s="45"/>
      <c r="AN141" s="45"/>
      <c r="AO141" s="45"/>
    </row>
    <row r="142" spans="1:41" ht="15.75" customHeight="1">
      <c r="A142" s="44"/>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114"/>
      <c r="AM142" s="45"/>
      <c r="AN142" s="45"/>
      <c r="AO142" s="45"/>
    </row>
    <row r="143" spans="1:41" ht="15.75" customHeight="1">
      <c r="A143" s="44"/>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114"/>
      <c r="AM143" s="45"/>
      <c r="AN143" s="45"/>
      <c r="AO143" s="45"/>
    </row>
    <row r="144" spans="1:41" ht="15.75" customHeight="1">
      <c r="A144" s="44"/>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114"/>
      <c r="AM144" s="45"/>
      <c r="AN144" s="45"/>
      <c r="AO144" s="45"/>
    </row>
    <row r="145" spans="1:41" ht="15.75" customHeight="1">
      <c r="A145" s="44"/>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114"/>
      <c r="AM145" s="45"/>
      <c r="AN145" s="45"/>
      <c r="AO145" s="45"/>
    </row>
    <row r="146" spans="1:41" ht="15.75" customHeight="1">
      <c r="A146" s="44"/>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114"/>
      <c r="AM146" s="45"/>
      <c r="AN146" s="45"/>
      <c r="AO146" s="45"/>
    </row>
    <row r="147" spans="1:41" ht="15.75" customHeight="1">
      <c r="A147" s="44"/>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114"/>
      <c r="AM147" s="45"/>
      <c r="AN147" s="45"/>
      <c r="AO147" s="45"/>
    </row>
    <row r="148" spans="1:41" ht="15.75" customHeight="1">
      <c r="A148" s="44"/>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114"/>
      <c r="AM148" s="45"/>
      <c r="AN148" s="45"/>
      <c r="AO148" s="45"/>
    </row>
    <row r="149" spans="1:41" ht="15.75" customHeight="1">
      <c r="A149" s="44"/>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114"/>
      <c r="AM149" s="45"/>
      <c r="AN149" s="45"/>
      <c r="AO149" s="45"/>
    </row>
    <row r="150" spans="1:41" ht="15.75" customHeight="1">
      <c r="A150" s="44"/>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114"/>
      <c r="AM150" s="45"/>
      <c r="AN150" s="45"/>
      <c r="AO150" s="45"/>
    </row>
    <row r="151" spans="1:41" ht="15.75" customHeight="1">
      <c r="A151" s="44"/>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114"/>
      <c r="AM151" s="45"/>
      <c r="AN151" s="45"/>
      <c r="AO151" s="45"/>
    </row>
    <row r="152" spans="1:41" ht="15.75" customHeight="1">
      <c r="A152" s="44"/>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114"/>
      <c r="AM152" s="45"/>
      <c r="AN152" s="45"/>
      <c r="AO152" s="45"/>
    </row>
    <row r="153" spans="1:41" ht="15.75" customHeight="1">
      <c r="A153" s="44"/>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114"/>
      <c r="AM153" s="45"/>
      <c r="AN153" s="45"/>
      <c r="AO153" s="45"/>
    </row>
    <row r="154" spans="1:41" ht="15.75" customHeight="1">
      <c r="A154" s="44"/>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114"/>
      <c r="AM154" s="45"/>
      <c r="AN154" s="45"/>
      <c r="AO154" s="45"/>
    </row>
    <row r="155" spans="1:41" ht="15.75" customHeight="1">
      <c r="A155" s="44"/>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114"/>
      <c r="AM155" s="45"/>
      <c r="AN155" s="45"/>
      <c r="AO155" s="45"/>
    </row>
    <row r="156" spans="1:41" ht="15.75" customHeight="1">
      <c r="A156" s="44"/>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114"/>
      <c r="AM156" s="45"/>
      <c r="AN156" s="45"/>
      <c r="AO156" s="45"/>
    </row>
    <row r="157" spans="1:41" ht="15.75" customHeight="1">
      <c r="A157" s="44"/>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114"/>
      <c r="AM157" s="45"/>
      <c r="AN157" s="45"/>
      <c r="AO157" s="45"/>
    </row>
    <row r="158" spans="1:41" ht="15.75" customHeight="1">
      <c r="A158" s="44"/>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114"/>
      <c r="AM158" s="45"/>
      <c r="AN158" s="45"/>
      <c r="AO158" s="45"/>
    </row>
    <row r="159" spans="1:41" ht="15.75" customHeight="1">
      <c r="A159" s="44"/>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114"/>
      <c r="AM159" s="45"/>
      <c r="AN159" s="45"/>
      <c r="AO159" s="45"/>
    </row>
    <row r="160" spans="1:41" ht="15.75" customHeight="1">
      <c r="A160" s="44"/>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114"/>
      <c r="AM160" s="45"/>
      <c r="AN160" s="45"/>
      <c r="AO160" s="45"/>
    </row>
    <row r="161" spans="1:41" ht="15.75" customHeight="1">
      <c r="A161" s="44"/>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114"/>
      <c r="AM161" s="45"/>
      <c r="AN161" s="45"/>
      <c r="AO161" s="45"/>
    </row>
    <row r="162" spans="1:41" ht="15.75" customHeight="1">
      <c r="A162" s="44"/>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114"/>
      <c r="AM162" s="45"/>
      <c r="AN162" s="45"/>
      <c r="AO162" s="45"/>
    </row>
    <row r="163" spans="1:41" ht="15.75" customHeight="1">
      <c r="A163" s="44"/>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114"/>
      <c r="AM163" s="45"/>
      <c r="AN163" s="45"/>
      <c r="AO163" s="45"/>
    </row>
    <row r="164" spans="1:41" ht="15.75" customHeight="1">
      <c r="A164" s="44"/>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114"/>
      <c r="AM164" s="45"/>
      <c r="AN164" s="45"/>
      <c r="AO164" s="45"/>
    </row>
    <row r="165" spans="1:41" ht="15.75" customHeight="1">
      <c r="A165" s="44"/>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114"/>
      <c r="AM165" s="45"/>
      <c r="AN165" s="45"/>
      <c r="AO165" s="45"/>
    </row>
    <row r="166" spans="1:41" ht="15.75" customHeight="1">
      <c r="A166" s="44"/>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114"/>
      <c r="AM166" s="45"/>
      <c r="AN166" s="45"/>
      <c r="AO166" s="45"/>
    </row>
    <row r="167" spans="1:41" ht="15.75" customHeight="1">
      <c r="A167" s="44"/>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114"/>
      <c r="AM167" s="45"/>
      <c r="AN167" s="45"/>
      <c r="AO167" s="45"/>
    </row>
    <row r="168" spans="1:41" ht="15.75" customHeight="1">
      <c r="A168" s="44"/>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114"/>
      <c r="AM168" s="45"/>
      <c r="AN168" s="45"/>
      <c r="AO168" s="45"/>
    </row>
    <row r="169" spans="1:41" ht="15.75" customHeight="1">
      <c r="A169" s="44"/>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114"/>
      <c r="AM169" s="45"/>
      <c r="AN169" s="45"/>
      <c r="AO169" s="45"/>
    </row>
    <row r="170" spans="1:41" ht="15.75" customHeight="1">
      <c r="A170" s="44"/>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114"/>
      <c r="AM170" s="45"/>
      <c r="AN170" s="45"/>
      <c r="AO170" s="45"/>
    </row>
    <row r="171" spans="1:41" ht="15.75" customHeight="1">
      <c r="A171" s="44"/>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114"/>
      <c r="AM171" s="45"/>
      <c r="AN171" s="45"/>
      <c r="AO171" s="45"/>
    </row>
    <row r="172" spans="1:41" ht="15.75" customHeight="1">
      <c r="A172" s="44"/>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114"/>
      <c r="AM172" s="45"/>
      <c r="AN172" s="45"/>
      <c r="AO172" s="45"/>
    </row>
    <row r="173" spans="1:41" ht="15.75" customHeight="1">
      <c r="A173" s="44"/>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114"/>
      <c r="AM173" s="45"/>
      <c r="AN173" s="45"/>
      <c r="AO173" s="45"/>
    </row>
    <row r="174" spans="1:41" ht="15.75" customHeight="1">
      <c r="A174" s="44"/>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114"/>
      <c r="AM174" s="45"/>
      <c r="AN174" s="45"/>
      <c r="AO174" s="45"/>
    </row>
    <row r="175" spans="1:41" ht="15.75" customHeight="1">
      <c r="A175" s="44"/>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114"/>
      <c r="AM175" s="45"/>
      <c r="AN175" s="45"/>
      <c r="AO175" s="45"/>
    </row>
    <row r="176" spans="1:41" ht="15.75" customHeight="1">
      <c r="A176" s="44"/>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114"/>
      <c r="AM176" s="45"/>
      <c r="AN176" s="45"/>
      <c r="AO176" s="45"/>
    </row>
    <row r="177" spans="1:41" ht="15.75" customHeight="1">
      <c r="A177" s="44"/>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114"/>
      <c r="AM177" s="45"/>
      <c r="AN177" s="45"/>
      <c r="AO177" s="45"/>
    </row>
    <row r="178" spans="1:41" ht="15.75" customHeight="1">
      <c r="A178" s="44"/>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114"/>
      <c r="AM178" s="45"/>
      <c r="AN178" s="45"/>
      <c r="AO178" s="45"/>
    </row>
    <row r="179" spans="1:41" ht="15.75" customHeight="1">
      <c r="A179" s="44"/>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114"/>
      <c r="AM179" s="45"/>
      <c r="AN179" s="45"/>
      <c r="AO179" s="45"/>
    </row>
    <row r="180" spans="1:41" ht="15.75" customHeight="1">
      <c r="A180" s="44"/>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114"/>
      <c r="AM180" s="45"/>
      <c r="AN180" s="45"/>
      <c r="AO180" s="45"/>
    </row>
    <row r="181" spans="1:41" ht="15.75" customHeight="1">
      <c r="A181" s="44"/>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114"/>
      <c r="AM181" s="45"/>
      <c r="AN181" s="45"/>
      <c r="AO181" s="45"/>
    </row>
    <row r="182" spans="1:41" ht="15.75" customHeight="1">
      <c r="A182" s="44"/>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114"/>
      <c r="AM182" s="45"/>
      <c r="AN182" s="45"/>
      <c r="AO182" s="45"/>
    </row>
    <row r="183" spans="1:41" ht="15.75" customHeight="1">
      <c r="A183" s="44"/>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114"/>
      <c r="AM183" s="45"/>
      <c r="AN183" s="45"/>
      <c r="AO183" s="45"/>
    </row>
    <row r="184" spans="1:41" ht="15.75" customHeight="1">
      <c r="A184" s="44"/>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114"/>
      <c r="AM184" s="45"/>
      <c r="AN184" s="45"/>
      <c r="AO184" s="45"/>
    </row>
    <row r="185" spans="1:41" ht="15.75" customHeight="1">
      <c r="A185" s="44"/>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114"/>
      <c r="AM185" s="45"/>
      <c r="AN185" s="45"/>
      <c r="AO185" s="45"/>
    </row>
    <row r="186" spans="1:41" ht="15.75" customHeight="1">
      <c r="A186" s="44"/>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114"/>
      <c r="AM186" s="45"/>
      <c r="AN186" s="45"/>
      <c r="AO186" s="45"/>
    </row>
    <row r="187" spans="1:41" ht="15.75" customHeight="1">
      <c r="A187" s="44"/>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114"/>
      <c r="AM187" s="45"/>
      <c r="AN187" s="45"/>
      <c r="AO187" s="45"/>
    </row>
    <row r="188" spans="1:41" ht="15.75" customHeight="1">
      <c r="A188" s="44"/>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114"/>
      <c r="AM188" s="45"/>
      <c r="AN188" s="45"/>
      <c r="AO188" s="45"/>
    </row>
    <row r="189" spans="1:41" ht="15.75" customHeight="1">
      <c r="A189" s="44"/>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114"/>
      <c r="AM189" s="45"/>
      <c r="AN189" s="45"/>
      <c r="AO189" s="45"/>
    </row>
    <row r="190" spans="1:41" ht="15.75" customHeight="1">
      <c r="A190" s="44"/>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114"/>
      <c r="AM190" s="45"/>
      <c r="AN190" s="45"/>
      <c r="AO190" s="45"/>
    </row>
    <row r="191" spans="1:41" ht="15.75" customHeight="1">
      <c r="A191" s="44"/>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114"/>
      <c r="AM191" s="45"/>
      <c r="AN191" s="45"/>
      <c r="AO191" s="45"/>
    </row>
    <row r="192" spans="1:41" ht="15.75" customHeight="1">
      <c r="A192" s="44"/>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114"/>
      <c r="AM192" s="45"/>
      <c r="AN192" s="45"/>
      <c r="AO192" s="45"/>
    </row>
    <row r="193" spans="1:41" ht="15.75" customHeight="1">
      <c r="A193" s="44"/>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114"/>
      <c r="AM193" s="45"/>
      <c r="AN193" s="45"/>
      <c r="AO193" s="45"/>
    </row>
    <row r="194" spans="1:41" ht="15.75" customHeight="1">
      <c r="A194" s="44"/>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114"/>
      <c r="AM194" s="45"/>
      <c r="AN194" s="45"/>
      <c r="AO194" s="45"/>
    </row>
    <row r="195" spans="1:41" ht="15.75" customHeight="1">
      <c r="A195" s="44"/>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114"/>
      <c r="AM195" s="45"/>
      <c r="AN195" s="45"/>
      <c r="AO195" s="45"/>
    </row>
    <row r="196" spans="1:41" ht="15.75" customHeight="1">
      <c r="A196" s="44"/>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114"/>
      <c r="AM196" s="45"/>
      <c r="AN196" s="45"/>
      <c r="AO196" s="45"/>
    </row>
    <row r="197" spans="1:41" ht="15.75" customHeight="1">
      <c r="A197" s="44"/>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114"/>
      <c r="AM197" s="45"/>
      <c r="AN197" s="45"/>
      <c r="AO197" s="45"/>
    </row>
    <row r="198" spans="1:41" ht="15.75" customHeight="1">
      <c r="A198" s="44"/>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114"/>
      <c r="AM198" s="45"/>
      <c r="AN198" s="45"/>
      <c r="AO198" s="45"/>
    </row>
    <row r="199" spans="1:41" ht="15.75" customHeight="1">
      <c r="A199" s="44"/>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114"/>
      <c r="AM199" s="45"/>
      <c r="AN199" s="45"/>
      <c r="AO199" s="45"/>
    </row>
    <row r="200" spans="1:41" ht="15.75" customHeight="1">
      <c r="A200" s="44"/>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114"/>
      <c r="AM200" s="45"/>
      <c r="AN200" s="45"/>
      <c r="AO200" s="45"/>
    </row>
    <row r="201" spans="1:41" ht="15.75" customHeight="1">
      <c r="A201" s="44"/>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114"/>
      <c r="AM201" s="45"/>
      <c r="AN201" s="45"/>
      <c r="AO201" s="45"/>
    </row>
    <row r="202" spans="1:41" ht="15.75" customHeight="1">
      <c r="A202" s="44"/>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114"/>
      <c r="AM202" s="45"/>
      <c r="AN202" s="45"/>
      <c r="AO202" s="45"/>
    </row>
    <row r="203" spans="1:41" ht="15.75" customHeight="1">
      <c r="A203" s="44"/>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114"/>
      <c r="AM203" s="45"/>
      <c r="AN203" s="45"/>
      <c r="AO203" s="45"/>
    </row>
    <row r="204" spans="1:41" ht="15.75" customHeight="1">
      <c r="A204" s="44"/>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114"/>
      <c r="AM204" s="45"/>
      <c r="AN204" s="45"/>
      <c r="AO204" s="45"/>
    </row>
    <row r="205" spans="1:41" ht="15.75" customHeight="1">
      <c r="A205" s="44"/>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114"/>
      <c r="AM205" s="45"/>
      <c r="AN205" s="45"/>
      <c r="AO205" s="45"/>
    </row>
    <row r="206" spans="1:41" ht="15.75" customHeight="1">
      <c r="A206" s="44"/>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114"/>
      <c r="AM206" s="45"/>
      <c r="AN206" s="45"/>
      <c r="AO206" s="45"/>
    </row>
    <row r="207" spans="1:41" ht="15.75" customHeight="1">
      <c r="A207" s="44"/>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114"/>
      <c r="AM207" s="45"/>
      <c r="AN207" s="45"/>
      <c r="AO207" s="45"/>
    </row>
    <row r="208" spans="1:41" ht="15.75" customHeight="1">
      <c r="A208" s="44"/>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114"/>
      <c r="AM208" s="45"/>
      <c r="AN208" s="45"/>
      <c r="AO208" s="45"/>
    </row>
    <row r="209" spans="1:41" ht="15.75" customHeight="1">
      <c r="A209" s="44"/>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114"/>
      <c r="AM209" s="45"/>
      <c r="AN209" s="45"/>
      <c r="AO209" s="45"/>
    </row>
    <row r="210" spans="1:41" ht="15.75" customHeight="1">
      <c r="A210" s="44"/>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114"/>
      <c r="AM210" s="45"/>
      <c r="AN210" s="45"/>
      <c r="AO210" s="45"/>
    </row>
    <row r="211" spans="1:41" ht="15.75" customHeight="1">
      <c r="A211" s="44"/>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114"/>
      <c r="AM211" s="45"/>
      <c r="AN211" s="45"/>
      <c r="AO211" s="45"/>
    </row>
    <row r="212" spans="1:41" ht="15.75" customHeight="1">
      <c r="A212" s="44"/>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114"/>
      <c r="AM212" s="45"/>
      <c r="AN212" s="45"/>
      <c r="AO212" s="45"/>
    </row>
    <row r="213" spans="1:41" ht="15.75" customHeight="1">
      <c r="A213" s="44"/>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114"/>
      <c r="AM213" s="45"/>
      <c r="AN213" s="45"/>
      <c r="AO213" s="45"/>
    </row>
    <row r="214" spans="1:41" ht="15.75" customHeight="1">
      <c r="A214" s="44"/>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114"/>
      <c r="AM214" s="45"/>
      <c r="AN214" s="45"/>
      <c r="AO214" s="45"/>
    </row>
    <row r="215" spans="1:41" ht="15.75" customHeight="1">
      <c r="A215" s="44"/>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114"/>
      <c r="AM215" s="45"/>
      <c r="AN215" s="45"/>
      <c r="AO215" s="45"/>
    </row>
    <row r="216" spans="1:41" ht="15.75" customHeight="1">
      <c r="A216" s="44"/>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114"/>
      <c r="AM216" s="45"/>
      <c r="AN216" s="45"/>
      <c r="AO216" s="45"/>
    </row>
    <row r="217" spans="1:41" ht="15.75" customHeight="1">
      <c r="A217" s="44"/>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114"/>
      <c r="AM217" s="45"/>
      <c r="AN217" s="45"/>
      <c r="AO217" s="45"/>
    </row>
    <row r="218" spans="1:41" ht="15.75" customHeight="1">
      <c r="A218" s="44"/>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114"/>
      <c r="AM218" s="45"/>
      <c r="AN218" s="45"/>
      <c r="AO218" s="45"/>
    </row>
    <row r="219" spans="1:41" ht="15.75" customHeight="1">
      <c r="A219" s="44"/>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114"/>
      <c r="AM219" s="45"/>
      <c r="AN219" s="45"/>
      <c r="AO219" s="45"/>
    </row>
    <row r="220" spans="1:41" ht="15.75" customHeight="1">
      <c r="A220" s="44"/>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114"/>
      <c r="AM220" s="45"/>
      <c r="AN220" s="45"/>
      <c r="AO220" s="45"/>
    </row>
    <row r="221" spans="1:41" ht="15.75" customHeight="1">
      <c r="A221" s="44"/>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114"/>
      <c r="AM221" s="45"/>
      <c r="AN221" s="45"/>
      <c r="AO221" s="45"/>
    </row>
    <row r="222" spans="1:41" ht="15.75" customHeight="1">
      <c r="A222" s="44"/>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114"/>
      <c r="AM222" s="45"/>
      <c r="AN222" s="45"/>
      <c r="AO222" s="45"/>
    </row>
    <row r="223" spans="1:41" ht="15.75" customHeight="1">
      <c r="A223" s="44"/>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114"/>
      <c r="AM223" s="45"/>
      <c r="AN223" s="45"/>
      <c r="AO223" s="45"/>
    </row>
    <row r="224" spans="1:41" ht="15.75" customHeight="1">
      <c r="A224" s="44"/>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114"/>
      <c r="AM224" s="45"/>
      <c r="AN224" s="45"/>
      <c r="AO224" s="45"/>
    </row>
    <row r="225" spans="1:41" ht="15.75" customHeight="1">
      <c r="A225" s="44"/>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114"/>
      <c r="AM225" s="45"/>
      <c r="AN225" s="45"/>
      <c r="AO225" s="45"/>
    </row>
    <row r="226" spans="1:41" ht="15.75" customHeight="1">
      <c r="A226" s="44"/>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114"/>
      <c r="AM226" s="45"/>
      <c r="AN226" s="45"/>
      <c r="AO226" s="45"/>
    </row>
    <row r="227" spans="1:41" ht="15.75" customHeight="1">
      <c r="A227" s="44"/>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114"/>
      <c r="AM227" s="45"/>
      <c r="AN227" s="45"/>
      <c r="AO227" s="45"/>
    </row>
    <row r="228" spans="1:41" ht="15.75" customHeight="1">
      <c r="A228" s="44"/>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114"/>
      <c r="AM228" s="45"/>
      <c r="AN228" s="45"/>
      <c r="AO228" s="45"/>
    </row>
    <row r="229" spans="1:41" ht="15.75" customHeight="1">
      <c r="A229" s="44"/>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114"/>
      <c r="AM229" s="45"/>
      <c r="AN229" s="45"/>
      <c r="AO229" s="45"/>
    </row>
    <row r="230" spans="1:41" ht="15.75" customHeight="1">
      <c r="A230" s="44"/>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114"/>
      <c r="AM230" s="45"/>
      <c r="AN230" s="45"/>
      <c r="AO230" s="45"/>
    </row>
    <row r="231" spans="1:41" ht="15.75" customHeight="1">
      <c r="A231" s="44"/>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114"/>
      <c r="AM231" s="45"/>
      <c r="AN231" s="45"/>
      <c r="AO231" s="45"/>
    </row>
    <row r="232" spans="1:41" ht="15.75" customHeight="1">
      <c r="A232" s="44"/>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114"/>
      <c r="AM232" s="45"/>
      <c r="AN232" s="45"/>
      <c r="AO232" s="45"/>
    </row>
    <row r="233" spans="1:41" ht="15.75" customHeight="1">
      <c r="A233" s="44"/>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114"/>
      <c r="AM233" s="45"/>
      <c r="AN233" s="45"/>
      <c r="AO233" s="45"/>
    </row>
    <row r="234" spans="1:41" ht="15.75" customHeight="1">
      <c r="A234" s="44"/>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114"/>
      <c r="AM234" s="45"/>
      <c r="AN234" s="45"/>
      <c r="AO234" s="45"/>
    </row>
    <row r="235" spans="1:41" ht="15.75" customHeight="1">
      <c r="A235" s="44"/>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114"/>
      <c r="AM235" s="45"/>
      <c r="AN235" s="45"/>
      <c r="AO235" s="45"/>
    </row>
    <row r="236" spans="1:41" ht="15.75" customHeight="1">
      <c r="A236" s="44"/>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114"/>
      <c r="AM236" s="45"/>
      <c r="AN236" s="45"/>
      <c r="AO236" s="45"/>
    </row>
    <row r="237" spans="1:41" ht="15.75" customHeight="1">
      <c r="A237" s="44"/>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114"/>
      <c r="AM237" s="45"/>
      <c r="AN237" s="45"/>
      <c r="AO237" s="45"/>
    </row>
    <row r="238" spans="1:41" ht="15.75" customHeight="1">
      <c r="A238" s="44"/>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114"/>
      <c r="AM238" s="45"/>
      <c r="AN238" s="45"/>
      <c r="AO238" s="45"/>
    </row>
    <row r="239" spans="1:41" ht="15.75" customHeight="1">
      <c r="A239" s="44"/>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114"/>
      <c r="AM239" s="45"/>
      <c r="AN239" s="45"/>
      <c r="AO239" s="45"/>
    </row>
    <row r="240" spans="1:41" ht="15.75" customHeight="1">
      <c r="A240" s="44"/>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114"/>
      <c r="AM240" s="45"/>
      <c r="AN240" s="45"/>
      <c r="AO240" s="45"/>
    </row>
    <row r="241" spans="1:41" ht="15.75" customHeight="1">
      <c r="A241" s="44"/>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114"/>
      <c r="AM241" s="45"/>
      <c r="AN241" s="45"/>
      <c r="AO241" s="45"/>
    </row>
    <row r="242" spans="1:41" ht="15.75" customHeight="1">
      <c r="A242" s="44"/>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114"/>
      <c r="AM242" s="45"/>
      <c r="AN242" s="45"/>
      <c r="AO242" s="45"/>
    </row>
    <row r="243" spans="1:41" ht="15.75" customHeight="1">
      <c r="A243" s="44"/>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114"/>
      <c r="AM243" s="45"/>
      <c r="AN243" s="45"/>
      <c r="AO243" s="45"/>
    </row>
    <row r="244" spans="1:41" ht="15.75" customHeight="1">
      <c r="A244" s="44"/>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114"/>
      <c r="AM244" s="45"/>
      <c r="AN244" s="45"/>
      <c r="AO244" s="45"/>
    </row>
    <row r="245" spans="1:41" ht="15.75" customHeight="1">
      <c r="A245" s="44"/>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114"/>
      <c r="AM245" s="45"/>
      <c r="AN245" s="45"/>
      <c r="AO245" s="45"/>
    </row>
    <row r="246" spans="1:41" ht="15.75" customHeight="1">
      <c r="A246" s="44"/>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114"/>
      <c r="AM246" s="45"/>
      <c r="AN246" s="45"/>
      <c r="AO246" s="45"/>
    </row>
    <row r="247" spans="1:41" ht="15.75" customHeight="1">
      <c r="A247" s="44"/>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114"/>
      <c r="AM247" s="45"/>
      <c r="AN247" s="45"/>
      <c r="AO247" s="45"/>
    </row>
    <row r="248" spans="1:41" ht="15.75" customHeight="1">
      <c r="A248" s="44"/>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114"/>
      <c r="AM248" s="45"/>
      <c r="AN248" s="45"/>
      <c r="AO248" s="45"/>
    </row>
    <row r="249" spans="1:41" ht="15.75" customHeight="1">
      <c r="A249" s="44"/>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114"/>
      <c r="AM249" s="45"/>
      <c r="AN249" s="45"/>
      <c r="AO249" s="45"/>
    </row>
    <row r="250" spans="1:41" ht="15.75" customHeight="1">
      <c r="A250" s="44"/>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114"/>
      <c r="AM250" s="45"/>
      <c r="AN250" s="45"/>
      <c r="AO250" s="45"/>
    </row>
    <row r="251" spans="1:41" ht="15.75" customHeight="1">
      <c r="A251" s="44"/>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114"/>
      <c r="AM251" s="45"/>
      <c r="AN251" s="45"/>
      <c r="AO251" s="45"/>
    </row>
    <row r="252" spans="1:41" ht="15.75" customHeight="1"/>
    <row r="253" spans="1:41" ht="15.75" customHeight="1"/>
    <row r="254" spans="1:41" ht="15.75" customHeight="1"/>
    <row r="255" spans="1:41" ht="15.75" customHeight="1"/>
    <row r="256" spans="1:4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W3:AC3"/>
    <mergeCell ref="AD3:AE3"/>
    <mergeCell ref="C1:I1"/>
    <mergeCell ref="J1:P1"/>
    <mergeCell ref="Q1:V1"/>
    <mergeCell ref="W1:AC1"/>
    <mergeCell ref="AD1:AL1"/>
    <mergeCell ref="C3:I3"/>
    <mergeCell ref="J3:P3"/>
    <mergeCell ref="AF3:A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3C47D"/>
    <outlinePr summaryBelow="0" summaryRight="0"/>
  </sheetPr>
  <dimension ref="A1:Q1000"/>
  <sheetViews>
    <sheetView workbookViewId="0">
      <pane xSplit="2" ySplit="3" topLeftCell="C4" activePane="bottomRight" state="frozen"/>
      <selection pane="topRight" activeCell="C1" sqref="C1"/>
      <selection pane="bottomLeft" activeCell="A4" sqref="A4"/>
      <selection pane="bottomRight" activeCell="C4" sqref="C4"/>
    </sheetView>
  </sheetViews>
  <sheetFormatPr baseColWidth="10" defaultColWidth="12.6640625" defaultRowHeight="15" customHeight="1"/>
  <cols>
    <col min="2" max="2" width="12.6640625" hidden="1"/>
  </cols>
  <sheetData>
    <row r="1" spans="1:17" ht="15.75" customHeight="1">
      <c r="A1" s="14"/>
      <c r="B1" s="14"/>
      <c r="C1" s="229" t="s">
        <v>133</v>
      </c>
      <c r="D1" s="212"/>
      <c r="E1" s="212"/>
      <c r="F1" s="212"/>
      <c r="G1" s="230" t="s">
        <v>134</v>
      </c>
      <c r="H1" s="212"/>
      <c r="I1" s="218" t="s">
        <v>89</v>
      </c>
      <c r="J1" s="212"/>
      <c r="K1" s="212"/>
      <c r="L1" s="212"/>
      <c r="M1" s="219" t="s">
        <v>90</v>
      </c>
      <c r="N1" s="214"/>
      <c r="O1" s="214"/>
      <c r="P1" s="214"/>
      <c r="Q1" s="217"/>
    </row>
    <row r="2" spans="1:17" ht="15.75" customHeight="1">
      <c r="A2" s="14" t="s">
        <v>31</v>
      </c>
      <c r="B2" s="14" t="s">
        <v>91</v>
      </c>
      <c r="C2" s="38" t="s">
        <v>135</v>
      </c>
      <c r="D2" s="14" t="s">
        <v>136</v>
      </c>
      <c r="E2" s="14" t="s">
        <v>137</v>
      </c>
      <c r="F2" s="14" t="s">
        <v>138</v>
      </c>
      <c r="G2" s="14" t="s">
        <v>139</v>
      </c>
      <c r="H2" s="38" t="s">
        <v>140</v>
      </c>
      <c r="I2" s="56" t="s">
        <v>135</v>
      </c>
      <c r="J2" s="60" t="s">
        <v>141</v>
      </c>
      <c r="K2" s="60" t="s">
        <v>142</v>
      </c>
      <c r="L2" s="57" t="s">
        <v>143</v>
      </c>
      <c r="M2" s="61" t="s">
        <v>135</v>
      </c>
      <c r="N2" s="62" t="s">
        <v>141</v>
      </c>
      <c r="O2" s="62" t="s">
        <v>142</v>
      </c>
      <c r="P2" s="63" t="s">
        <v>143</v>
      </c>
      <c r="Q2" s="64" t="s">
        <v>100</v>
      </c>
    </row>
    <row r="3" spans="1:17" ht="31.5" customHeight="1">
      <c r="A3" s="14"/>
      <c r="B3" s="115"/>
      <c r="C3" s="115"/>
      <c r="D3" s="115"/>
      <c r="E3" s="115"/>
      <c r="F3" s="115"/>
      <c r="G3" s="115" t="s">
        <v>131</v>
      </c>
      <c r="H3" s="116" t="s">
        <v>144</v>
      </c>
      <c r="I3" s="116" t="s">
        <v>145</v>
      </c>
      <c r="J3" s="116" t="s">
        <v>145</v>
      </c>
      <c r="K3" s="116" t="s">
        <v>145</v>
      </c>
      <c r="L3" s="116" t="s">
        <v>145</v>
      </c>
      <c r="M3" s="117" t="s">
        <v>36</v>
      </c>
      <c r="N3" s="117" t="s">
        <v>36</v>
      </c>
      <c r="O3" s="117" t="s">
        <v>36</v>
      </c>
      <c r="P3" s="118" t="s">
        <v>36</v>
      </c>
      <c r="Q3" s="119" t="s">
        <v>36</v>
      </c>
    </row>
    <row r="4" spans="1:17" ht="15.75" hidden="1" customHeight="1">
      <c r="A4" s="45"/>
      <c r="B4" s="45"/>
      <c r="C4" s="45"/>
      <c r="D4" s="45"/>
      <c r="E4" s="45"/>
      <c r="F4" s="45"/>
      <c r="G4" s="45"/>
      <c r="H4" s="33"/>
      <c r="I4" s="33"/>
      <c r="J4" s="120"/>
      <c r="K4" s="120"/>
      <c r="L4" s="120"/>
      <c r="M4" s="121"/>
      <c r="N4" s="121"/>
      <c r="O4" s="121"/>
      <c r="P4" s="121"/>
      <c r="Q4" s="122"/>
    </row>
    <row r="5" spans="1:17" ht="15.75" hidden="1" customHeight="1">
      <c r="A5" s="45" t="s">
        <v>31</v>
      </c>
      <c r="B5" s="45"/>
      <c r="C5" s="45"/>
      <c r="D5" s="45"/>
      <c r="E5" s="45"/>
      <c r="F5" s="45"/>
      <c r="G5" s="45"/>
      <c r="H5" s="33" t="s">
        <v>146</v>
      </c>
      <c r="I5" s="33"/>
      <c r="J5" s="120"/>
      <c r="K5" s="120"/>
      <c r="L5" s="120"/>
      <c r="M5" s="121"/>
      <c r="N5" s="121"/>
      <c r="O5" s="121"/>
      <c r="P5" s="121"/>
      <c r="Q5" s="122"/>
    </row>
    <row r="6" spans="1:17" ht="15.75" customHeight="1">
      <c r="A6" s="123" t="s">
        <v>37</v>
      </c>
      <c r="B6" s="124" t="s">
        <v>147</v>
      </c>
      <c r="C6" s="125">
        <f>VLOOKUP(A6,'Dairy Animal Numbers, Mass, Mil'!$B$4:$H$51,2,FALSE)</f>
        <v>1725000</v>
      </c>
      <c r="D6" s="125">
        <f>VLOOKUP($A6,'Dairy Animal Numbers, Mass, Mil'!$B$4:$F$52,3,FALSE)</f>
        <v>891000</v>
      </c>
      <c r="E6" s="125">
        <f>VLOOKUP($A6,'Dairy Animal Numbers, Mass, Mil'!$B$4:$F$52,4,FALSE)</f>
        <v>221000</v>
      </c>
      <c r="F6" s="125">
        <f>VLOOKUP($A6,'Dairy Animal Numbers, Mass, Mil'!$B$4:$F$52,5,FALSE)</f>
        <v>531000</v>
      </c>
      <c r="G6" s="126">
        <f>VLOOKUP(A6,'iFeeder TMR rations'!$T$3:$Y$50,5,FALSE)</f>
        <v>37.407241675574738</v>
      </c>
      <c r="H6" s="127">
        <v>23</v>
      </c>
      <c r="I6" s="128">
        <f t="shared" ref="I6:I53" si="0">((49.5 + (12.1 * H6) + (2.57 * G6))/1000) * 305 + ((49.5 + (12.1 * (H6/2) ) + (2.57 * G6))/1000) * 60</f>
        <v>146.38786305377289</v>
      </c>
      <c r="J6" s="129">
        <f t="shared" ref="J6:J53" si="1">((16.64 * 4.2 + 0.86)*365)/1000</f>
        <v>25.82302</v>
      </c>
      <c r="K6" s="129">
        <f t="shared" ref="K6:K53" si="2">((16.64 * 6.2 + 0.86)*365)/1000</f>
        <v>37.970219999999998</v>
      </c>
      <c r="L6" s="129">
        <f t="shared" ref="L6:L53" si="3">((16.64 * 11.3 + 0.86)*365)/1000</f>
        <v>68.945580000000007</v>
      </c>
      <c r="M6" s="130">
        <f>(('Dairy Enteric Inventory'!C6*'Dairy Enteric Inventory'!I6)/1000/1000000)*28</f>
        <v>7.070533785497231</v>
      </c>
      <c r="N6" s="130">
        <f>(('Dairy Enteric Inventory'!D6*'Dairy Enteric Inventory'!J6)/1000/1000000)*28</f>
        <v>0.64423270296000001</v>
      </c>
      <c r="O6" s="130">
        <f>(('Dairy Enteric Inventory'!E6*'Dairy Enteric Inventory'!K6)/1000/1000000)*28</f>
        <v>0.23495972135999996</v>
      </c>
      <c r="P6" s="130">
        <f>(('Dairy Enteric Inventory'!F6*'Dairy Enteric Inventory'!L6)/1000/1000000)*28</f>
        <v>1.0250828834400001</v>
      </c>
      <c r="Q6" s="43">
        <f t="shared" ref="Q6:Q53" si="4">SUM(M6:P6)</f>
        <v>8.9748090932572318</v>
      </c>
    </row>
    <row r="7" spans="1:17" ht="15.75" customHeight="1">
      <c r="A7" s="33" t="s">
        <v>38</v>
      </c>
      <c r="B7" s="124" t="s">
        <v>147</v>
      </c>
      <c r="C7" s="125">
        <f>VLOOKUP(A7,'Dairy Animal Numbers, Mass, Mil'!$B$4:$H$51,2,FALSE)</f>
        <v>445000</v>
      </c>
      <c r="D7" s="125">
        <f>VLOOKUP($A7,'Dairy Animal Numbers, Mass, Mil'!$B$4:$F$52,3,FALSE)</f>
        <v>230000</v>
      </c>
      <c r="E7" s="125">
        <f>VLOOKUP($A7,'Dairy Animal Numbers, Mass, Mil'!$B$4:$F$52,4,FALSE)</f>
        <v>68000</v>
      </c>
      <c r="F7" s="125">
        <f>VLOOKUP($A7,'Dairy Animal Numbers, Mass, Mil'!$B$4:$F$52,5,FALSE)</f>
        <v>164000</v>
      </c>
      <c r="G7" s="126">
        <f>VLOOKUP(A7,'iFeeder TMR rations'!$T$3:$Y$50,5,FALSE)</f>
        <v>37.633585948185086</v>
      </c>
      <c r="H7" s="127">
        <v>23</v>
      </c>
      <c r="I7" s="128">
        <f t="shared" si="0"/>
        <v>146.60018529869501</v>
      </c>
      <c r="J7" s="129">
        <f t="shared" si="1"/>
        <v>25.82302</v>
      </c>
      <c r="K7" s="129">
        <f t="shared" si="2"/>
        <v>37.970219999999998</v>
      </c>
      <c r="L7" s="129">
        <f t="shared" si="3"/>
        <v>68.945580000000007</v>
      </c>
      <c r="M7" s="130">
        <f>(('Dairy Enteric Inventory'!C7*'Dairy Enteric Inventory'!I7)/1000/1000000)*28</f>
        <v>1.8266383088217397</v>
      </c>
      <c r="N7" s="130">
        <f>(('Dairy Enteric Inventory'!D7*'Dairy Enteric Inventory'!J7)/1000/1000000)*28</f>
        <v>0.16630024879999999</v>
      </c>
      <c r="O7" s="130">
        <f>(('Dairy Enteric Inventory'!E7*'Dairy Enteric Inventory'!K7)/1000/1000000)*28</f>
        <v>7.2295298879999997E-2</v>
      </c>
      <c r="P7" s="130">
        <f>(('Dairy Enteric Inventory'!F7*'Dairy Enteric Inventory'!L7)/1000/1000000)*28</f>
        <v>0.31659810336000005</v>
      </c>
      <c r="Q7" s="43">
        <f t="shared" si="4"/>
        <v>2.3818319598617399</v>
      </c>
    </row>
    <row r="8" spans="1:17" ht="15.75" customHeight="1">
      <c r="A8" s="33" t="s">
        <v>39</v>
      </c>
      <c r="B8" s="124" t="s">
        <v>147</v>
      </c>
      <c r="C8" s="125">
        <f>VLOOKUP(A8,'Dairy Animal Numbers, Mass, Mil'!$B$4:$H$51,2,FALSE)</f>
        <v>625000</v>
      </c>
      <c r="D8" s="125">
        <f>VLOOKUP($A8,'Dairy Animal Numbers, Mass, Mil'!$B$4:$F$52,3,FALSE)</f>
        <v>323000</v>
      </c>
      <c r="E8" s="125">
        <f>VLOOKUP($A8,'Dairy Animal Numbers, Mass, Mil'!$B$4:$F$52,4,FALSE)</f>
        <v>100000</v>
      </c>
      <c r="F8" s="125">
        <f>VLOOKUP($A8,'Dairy Animal Numbers, Mass, Mil'!$B$4:$F$52,5,FALSE)</f>
        <v>241000</v>
      </c>
      <c r="G8" s="126">
        <f>VLOOKUP(A8,'iFeeder TMR rations'!$T$3:$Y$50,5,FALSE)</f>
        <v>38.363079890651612</v>
      </c>
      <c r="H8" s="127">
        <v>23</v>
      </c>
      <c r="I8" s="128">
        <f t="shared" si="0"/>
        <v>147.28448709142575</v>
      </c>
      <c r="J8" s="129">
        <f t="shared" si="1"/>
        <v>25.82302</v>
      </c>
      <c r="K8" s="129">
        <f t="shared" si="2"/>
        <v>37.970219999999998</v>
      </c>
      <c r="L8" s="129">
        <f t="shared" si="3"/>
        <v>68.945580000000007</v>
      </c>
      <c r="M8" s="130">
        <f>(('Dairy Enteric Inventory'!C8*'Dairy Enteric Inventory'!I8)/1000/1000000)*28</f>
        <v>2.5774785240999507</v>
      </c>
      <c r="N8" s="130">
        <f>(('Dairy Enteric Inventory'!D8*'Dairy Enteric Inventory'!J8)/1000/1000000)*28</f>
        <v>0.23354339287999998</v>
      </c>
      <c r="O8" s="130">
        <f>(('Dairy Enteric Inventory'!E8*'Dairy Enteric Inventory'!K8)/1000/1000000)*28</f>
        <v>0.10631661599999997</v>
      </c>
      <c r="P8" s="130">
        <f>(('Dairy Enteric Inventory'!F8*'Dairy Enteric Inventory'!L8)/1000/1000000)*28</f>
        <v>0.46524477383999996</v>
      </c>
      <c r="Q8" s="43">
        <f t="shared" si="4"/>
        <v>3.3825833068199507</v>
      </c>
    </row>
    <row r="9" spans="1:17" ht="15.75" customHeight="1">
      <c r="A9" s="109" t="s">
        <v>40</v>
      </c>
      <c r="B9" s="45" t="s">
        <v>147</v>
      </c>
      <c r="C9" s="131">
        <f>VLOOKUP(A9,'Dairy Animal Numbers, Mass, Mil'!$B$4:$H$51,2,FALSE)</f>
        <v>4000</v>
      </c>
      <c r="D9" s="125">
        <f>VLOOKUP($A9,'Dairy Animal Numbers, Mass, Mil'!$B$4:$F$52,3,FALSE)</f>
        <v>2000</v>
      </c>
      <c r="E9" s="125">
        <f>VLOOKUP($A9,'Dairy Animal Numbers, Mass, Mil'!$B$4:$F$52,4,FALSE)</f>
        <v>1000</v>
      </c>
      <c r="F9" s="125">
        <f>VLOOKUP($A9,'Dairy Animal Numbers, Mass, Mil'!$B$4:$F$52,5,FALSE)</f>
        <v>1000</v>
      </c>
      <c r="G9" s="126">
        <f>VLOOKUP(A9,'iFeeder TMR rations'!$T$3:$Y$50,5,FALSE)</f>
        <v>40.167039875812556</v>
      </c>
      <c r="H9" s="127">
        <v>23</v>
      </c>
      <c r="I9" s="128">
        <f t="shared" si="0"/>
        <v>148.97669175550598</v>
      </c>
      <c r="J9" s="129">
        <f t="shared" si="1"/>
        <v>25.82302</v>
      </c>
      <c r="K9" s="129">
        <f t="shared" si="2"/>
        <v>37.970219999999998</v>
      </c>
      <c r="L9" s="129">
        <f t="shared" si="3"/>
        <v>68.945580000000007</v>
      </c>
      <c r="M9" s="130">
        <f>(('Dairy Enteric Inventory'!C9*'Dairy Enteric Inventory'!I9)/1000/1000000)*28</f>
        <v>1.6685389476616668E-2</v>
      </c>
      <c r="N9" s="130">
        <f>(('Dairy Enteric Inventory'!D9*'Dairy Enteric Inventory'!J9)/1000/1000000)*28</f>
        <v>1.4460891200000002E-3</v>
      </c>
      <c r="O9" s="130">
        <f>(('Dairy Enteric Inventory'!E9*'Dairy Enteric Inventory'!K9)/1000/1000000)*28</f>
        <v>1.0631661599999999E-3</v>
      </c>
      <c r="P9" s="130">
        <f>(('Dairy Enteric Inventory'!F9*'Dairy Enteric Inventory'!L9)/1000/1000000)*28</f>
        <v>1.9304762400000003E-3</v>
      </c>
      <c r="Q9" s="43">
        <f t="shared" si="4"/>
        <v>2.1125120996616668E-2</v>
      </c>
    </row>
    <row r="10" spans="1:17" ht="15.75" customHeight="1">
      <c r="A10" s="109" t="s">
        <v>41</v>
      </c>
      <c r="B10" s="45" t="s">
        <v>147</v>
      </c>
      <c r="C10" s="131">
        <f>VLOOKUP(A10,'Dairy Animal Numbers, Mass, Mil'!$B$4:$H$51,2,FALSE)</f>
        <v>5000</v>
      </c>
      <c r="D10" s="125">
        <f>VLOOKUP($A10,'Dairy Animal Numbers, Mass, Mil'!$B$4:$F$52,3,FALSE)</f>
        <v>3000</v>
      </c>
      <c r="E10" s="125">
        <f>VLOOKUP($A10,'Dairy Animal Numbers, Mass, Mil'!$B$4:$F$52,4,FALSE)</f>
        <v>1000</v>
      </c>
      <c r="F10" s="125">
        <f>VLOOKUP($A10,'Dairy Animal Numbers, Mass, Mil'!$B$4:$F$52,5,FALSE)</f>
        <v>2000</v>
      </c>
      <c r="G10" s="126">
        <f>VLOOKUP(A10,'iFeeder TMR rations'!$T$3:$Y$50,5,FALSE)</f>
        <v>40.36587960755778</v>
      </c>
      <c r="H10" s="127">
        <v>23</v>
      </c>
      <c r="I10" s="128">
        <f t="shared" si="0"/>
        <v>149.16321336586958</v>
      </c>
      <c r="J10" s="129">
        <f t="shared" si="1"/>
        <v>25.82302</v>
      </c>
      <c r="K10" s="129">
        <f t="shared" si="2"/>
        <v>37.970219999999998</v>
      </c>
      <c r="L10" s="129">
        <f t="shared" si="3"/>
        <v>68.945580000000007</v>
      </c>
      <c r="M10" s="130">
        <f>(('Dairy Enteric Inventory'!C10*'Dairy Enteric Inventory'!I10)/1000/1000000)*28</f>
        <v>2.0882849871221743E-2</v>
      </c>
      <c r="N10" s="130">
        <f>(('Dairy Enteric Inventory'!D10*'Dairy Enteric Inventory'!J10)/1000/1000000)*28</f>
        <v>2.1691336800000001E-3</v>
      </c>
      <c r="O10" s="130">
        <f>(('Dairy Enteric Inventory'!E10*'Dairy Enteric Inventory'!K10)/1000/1000000)*28</f>
        <v>1.0631661599999999E-3</v>
      </c>
      <c r="P10" s="130">
        <f>(('Dairy Enteric Inventory'!F10*'Dairy Enteric Inventory'!L10)/1000/1000000)*28</f>
        <v>3.8609524800000006E-3</v>
      </c>
      <c r="Q10" s="43">
        <f t="shared" si="4"/>
        <v>2.7976102191221743E-2</v>
      </c>
    </row>
    <row r="11" spans="1:17" ht="15.75" customHeight="1">
      <c r="A11" s="109" t="s">
        <v>42</v>
      </c>
      <c r="B11" s="45" t="s">
        <v>147</v>
      </c>
      <c r="C11" s="131">
        <f>VLOOKUP(A11,'Dairy Animal Numbers, Mass, Mil'!$B$4:$H$51,2,FALSE)</f>
        <v>196000</v>
      </c>
      <c r="D11" s="125">
        <f>VLOOKUP($A11,'Dairy Animal Numbers, Mass, Mil'!$B$4:$F$52,3,FALSE)</f>
        <v>101000</v>
      </c>
      <c r="E11" s="125">
        <f>VLOOKUP($A11,'Dairy Animal Numbers, Mass, Mil'!$B$4:$F$52,4,FALSE)</f>
        <v>33000</v>
      </c>
      <c r="F11" s="125">
        <f>VLOOKUP($A11,'Dairy Animal Numbers, Mass, Mil'!$B$4:$F$52,5,FALSE)</f>
        <v>80000</v>
      </c>
      <c r="G11" s="126">
        <f>VLOOKUP(A11,'iFeeder TMR rations'!$T$3:$Y$50,5,FALSE)</f>
        <v>39.332063238431616</v>
      </c>
      <c r="H11" s="127">
        <v>23</v>
      </c>
      <c r="I11" s="128">
        <f t="shared" si="0"/>
        <v>148.19344192081078</v>
      </c>
      <c r="J11" s="129">
        <f t="shared" si="1"/>
        <v>25.82302</v>
      </c>
      <c r="K11" s="129">
        <f t="shared" si="2"/>
        <v>37.970219999999998</v>
      </c>
      <c r="L11" s="129">
        <f t="shared" si="3"/>
        <v>68.945580000000007</v>
      </c>
      <c r="M11" s="130">
        <f>(('Dairy Enteric Inventory'!C11*'Dairy Enteric Inventory'!I11)/1000/1000000)*28</f>
        <v>0.81328560926140958</v>
      </c>
      <c r="N11" s="130">
        <f>(('Dairy Enteric Inventory'!D11*'Dairy Enteric Inventory'!J11)/1000/1000000)*28</f>
        <v>7.302750056E-2</v>
      </c>
      <c r="O11" s="130">
        <f>(('Dairy Enteric Inventory'!E11*'Dairy Enteric Inventory'!K11)/1000/1000000)*28</f>
        <v>3.5084483280000002E-2</v>
      </c>
      <c r="P11" s="130">
        <f>(('Dairy Enteric Inventory'!F11*'Dairy Enteric Inventory'!L11)/1000/1000000)*28</f>
        <v>0.15443809920000001</v>
      </c>
      <c r="Q11" s="43">
        <f t="shared" si="4"/>
        <v>1.0758356923014096</v>
      </c>
    </row>
    <row r="12" spans="1:17" ht="15.75" customHeight="1">
      <c r="A12" s="109" t="s">
        <v>43</v>
      </c>
      <c r="B12" s="45" t="s">
        <v>147</v>
      </c>
      <c r="C12" s="131">
        <f>VLOOKUP(A12,'Dairy Animal Numbers, Mass, Mil'!$B$4:$H$51,2,FALSE)</f>
        <v>189000</v>
      </c>
      <c r="D12" s="125">
        <f>VLOOKUP($A12,'Dairy Animal Numbers, Mass, Mil'!$B$4:$F$52,3,FALSE)</f>
        <v>98000</v>
      </c>
      <c r="E12" s="125">
        <f>VLOOKUP($A12,'Dairy Animal Numbers, Mass, Mil'!$B$4:$F$52,4,FALSE)</f>
        <v>33000</v>
      </c>
      <c r="F12" s="125">
        <f>VLOOKUP($A12,'Dairy Animal Numbers, Mass, Mil'!$B$4:$F$52,5,FALSE)</f>
        <v>80000</v>
      </c>
      <c r="G12" s="126">
        <f>VLOOKUP(A12,'iFeeder TMR rations'!$T$3:$Y$50,5,FALSE)</f>
        <v>38.06004788787979</v>
      </c>
      <c r="H12" s="127">
        <v>23</v>
      </c>
      <c r="I12" s="128">
        <f t="shared" si="0"/>
        <v>147.00022792122562</v>
      </c>
      <c r="J12" s="129">
        <f t="shared" si="1"/>
        <v>25.82302</v>
      </c>
      <c r="K12" s="129">
        <f t="shared" si="2"/>
        <v>37.970219999999998</v>
      </c>
      <c r="L12" s="129">
        <f t="shared" si="3"/>
        <v>68.945580000000007</v>
      </c>
      <c r="M12" s="130">
        <f>(('Dairy Enteric Inventory'!C12*'Dairy Enteric Inventory'!I12)/1000/1000000)*28</f>
        <v>0.77792520615912597</v>
      </c>
      <c r="N12" s="130">
        <f>(('Dairy Enteric Inventory'!D12*'Dairy Enteric Inventory'!J12)/1000/1000000)*28</f>
        <v>7.0858366880000009E-2</v>
      </c>
      <c r="O12" s="130">
        <f>(('Dairy Enteric Inventory'!E12*'Dairy Enteric Inventory'!K12)/1000/1000000)*28</f>
        <v>3.5084483280000002E-2</v>
      </c>
      <c r="P12" s="130">
        <f>(('Dairy Enteric Inventory'!F12*'Dairy Enteric Inventory'!L12)/1000/1000000)*28</f>
        <v>0.15443809920000001</v>
      </c>
      <c r="Q12" s="43">
        <f t="shared" si="4"/>
        <v>1.038306155519126</v>
      </c>
    </row>
    <row r="13" spans="1:17" ht="15.75" customHeight="1">
      <c r="A13" s="109" t="s">
        <v>44</v>
      </c>
      <c r="B13" s="45" t="s">
        <v>147</v>
      </c>
      <c r="C13" s="131">
        <f>VLOOKUP(A13,'Dairy Animal Numbers, Mass, Mil'!$B$4:$H$51,2,FALSE)</f>
        <v>20000</v>
      </c>
      <c r="D13" s="125">
        <f>VLOOKUP($A13,'Dairy Animal Numbers, Mass, Mil'!$B$4:$F$52,3,FALSE)</f>
        <v>10000</v>
      </c>
      <c r="E13" s="125">
        <f>VLOOKUP($A13,'Dairy Animal Numbers, Mass, Mil'!$B$4:$F$52,4,FALSE)</f>
        <v>3000</v>
      </c>
      <c r="F13" s="125">
        <f>VLOOKUP($A13,'Dairy Animal Numbers, Mass, Mil'!$B$4:$F$52,5,FALSE)</f>
        <v>7000</v>
      </c>
      <c r="G13" s="126">
        <f>VLOOKUP(A13,'iFeeder TMR rations'!$T$3:$Y$50,5,FALSE)</f>
        <v>40.728073202840285</v>
      </c>
      <c r="H13" s="127">
        <v>23</v>
      </c>
      <c r="I13" s="128">
        <f t="shared" si="0"/>
        <v>149.50296906792431</v>
      </c>
      <c r="J13" s="129">
        <f t="shared" si="1"/>
        <v>25.82302</v>
      </c>
      <c r="K13" s="129">
        <f t="shared" si="2"/>
        <v>37.970219999999998</v>
      </c>
      <c r="L13" s="129">
        <f t="shared" si="3"/>
        <v>68.945580000000007</v>
      </c>
      <c r="M13" s="130">
        <f>(('Dairy Enteric Inventory'!C13*'Dairy Enteric Inventory'!I13)/1000/1000000)*28</f>
        <v>8.3721662678037601E-2</v>
      </c>
      <c r="N13" s="130">
        <f>(('Dairy Enteric Inventory'!D13*'Dairy Enteric Inventory'!J13)/1000/1000000)*28</f>
        <v>7.2304455999999996E-3</v>
      </c>
      <c r="O13" s="130">
        <f>(('Dairy Enteric Inventory'!E13*'Dairy Enteric Inventory'!K13)/1000/1000000)*28</f>
        <v>3.1894984799999996E-3</v>
      </c>
      <c r="P13" s="130">
        <f>(('Dairy Enteric Inventory'!F13*'Dairy Enteric Inventory'!L13)/1000/1000000)*28</f>
        <v>1.3513333680000001E-2</v>
      </c>
      <c r="Q13" s="43">
        <f t="shared" si="4"/>
        <v>0.1076549404380376</v>
      </c>
    </row>
    <row r="14" spans="1:17" ht="15.75" customHeight="1">
      <c r="A14" s="109" t="s">
        <v>45</v>
      </c>
      <c r="B14" s="45" t="s">
        <v>147</v>
      </c>
      <c r="C14" s="131">
        <f>VLOOKUP(A14,'Dairy Animal Numbers, Mass, Mil'!$B$4:$H$51,2,FALSE)</f>
        <v>4000</v>
      </c>
      <c r="D14" s="125">
        <f>VLOOKUP($A14,'Dairy Animal Numbers, Mass, Mil'!$B$4:$F$52,3,FALSE)</f>
        <v>2000</v>
      </c>
      <c r="E14" s="125">
        <f>VLOOKUP($A14,'Dairy Animal Numbers, Mass, Mil'!$B$4:$F$52,4,FALSE)</f>
        <v>1000</v>
      </c>
      <c r="F14" s="125">
        <f>VLOOKUP($A14,'Dairy Animal Numbers, Mass, Mil'!$B$4:$F$52,5,FALSE)</f>
        <v>1000</v>
      </c>
      <c r="G14" s="126">
        <f>VLOOKUP(A14,'iFeeder TMR rations'!$T$3:$Y$50,5,FALSE)</f>
        <v>40.624598806622032</v>
      </c>
      <c r="H14" s="127">
        <v>23</v>
      </c>
      <c r="I14" s="128">
        <f t="shared" si="0"/>
        <v>149.40590491055178</v>
      </c>
      <c r="J14" s="129">
        <f t="shared" si="1"/>
        <v>25.82302</v>
      </c>
      <c r="K14" s="129">
        <f t="shared" si="2"/>
        <v>37.970219999999998</v>
      </c>
      <c r="L14" s="129">
        <f t="shared" si="3"/>
        <v>68.945580000000007</v>
      </c>
      <c r="M14" s="130">
        <f>(('Dairy Enteric Inventory'!C14*'Dairy Enteric Inventory'!I14)/1000/1000000)*28</f>
        <v>1.6733461349981799E-2</v>
      </c>
      <c r="N14" s="130">
        <f>(('Dairy Enteric Inventory'!D14*'Dairy Enteric Inventory'!J14)/1000/1000000)*28</f>
        <v>1.4460891200000002E-3</v>
      </c>
      <c r="O14" s="130">
        <f>(('Dairy Enteric Inventory'!E14*'Dairy Enteric Inventory'!K14)/1000/1000000)*28</f>
        <v>1.0631661599999999E-3</v>
      </c>
      <c r="P14" s="130">
        <f>(('Dairy Enteric Inventory'!F14*'Dairy Enteric Inventory'!L14)/1000/1000000)*28</f>
        <v>1.9304762400000003E-3</v>
      </c>
      <c r="Q14" s="43">
        <f t="shared" si="4"/>
        <v>2.1173192869981799E-2</v>
      </c>
    </row>
    <row r="15" spans="1:17" ht="15.75" customHeight="1">
      <c r="A15" s="109" t="s">
        <v>46</v>
      </c>
      <c r="B15" s="45" t="s">
        <v>147</v>
      </c>
      <c r="C15" s="131">
        <f>VLOOKUP(A15,'Dairy Animal Numbers, Mass, Mil'!$B$4:$H$51,2,FALSE)</f>
        <v>116000</v>
      </c>
      <c r="D15" s="125">
        <f>VLOOKUP($A15,'Dairy Animal Numbers, Mass, Mil'!$B$4:$F$52,3,FALSE)</f>
        <v>60000</v>
      </c>
      <c r="E15" s="125">
        <f>VLOOKUP($A15,'Dairy Animal Numbers, Mass, Mil'!$B$4:$F$52,4,FALSE)</f>
        <v>10000</v>
      </c>
      <c r="F15" s="125">
        <f>VLOOKUP($A15,'Dairy Animal Numbers, Mass, Mil'!$B$4:$F$52,5,FALSE)</f>
        <v>24000</v>
      </c>
      <c r="G15" s="126">
        <f>VLOOKUP(A15,'iFeeder TMR rations'!$T$3:$Y$50,5,FALSE)</f>
        <v>40.112271171867292</v>
      </c>
      <c r="H15" s="127">
        <v>23</v>
      </c>
      <c r="I15" s="128">
        <f t="shared" si="0"/>
        <v>148.92531597277014</v>
      </c>
      <c r="J15" s="129">
        <f t="shared" si="1"/>
        <v>25.82302</v>
      </c>
      <c r="K15" s="129">
        <f t="shared" si="2"/>
        <v>37.970219999999998</v>
      </c>
      <c r="L15" s="129">
        <f t="shared" si="3"/>
        <v>68.945580000000007</v>
      </c>
      <c r="M15" s="130">
        <f>(('Dairy Enteric Inventory'!C15*'Dairy Enteric Inventory'!I15)/1000/1000000)*28</f>
        <v>0.48370942627955738</v>
      </c>
      <c r="N15" s="130">
        <f>(('Dairy Enteric Inventory'!D15*'Dairy Enteric Inventory'!J15)/1000/1000000)*28</f>
        <v>4.3382673600000005E-2</v>
      </c>
      <c r="O15" s="130">
        <f>(('Dairy Enteric Inventory'!E15*'Dairy Enteric Inventory'!K15)/1000/1000000)*28</f>
        <v>1.0631661599999998E-2</v>
      </c>
      <c r="P15" s="130">
        <f>(('Dairy Enteric Inventory'!F15*'Dairy Enteric Inventory'!L15)/1000/1000000)*28</f>
        <v>4.6331429760000001E-2</v>
      </c>
      <c r="Q15" s="43">
        <f t="shared" si="4"/>
        <v>0.5840551912395574</v>
      </c>
    </row>
    <row r="16" spans="1:17" ht="15.75" customHeight="1">
      <c r="A16" s="109" t="s">
        <v>47</v>
      </c>
      <c r="B16" s="45" t="s">
        <v>147</v>
      </c>
      <c r="C16" s="131">
        <f>VLOOKUP(A16,'Dairy Animal Numbers, Mass, Mil'!$B$4:$H$51,2,FALSE)</f>
        <v>81000</v>
      </c>
      <c r="D16" s="125">
        <f>VLOOKUP($A16,'Dairy Animal Numbers, Mass, Mil'!$B$4:$F$52,3,FALSE)</f>
        <v>42000</v>
      </c>
      <c r="E16" s="125">
        <f>VLOOKUP($A16,'Dairy Animal Numbers, Mass, Mil'!$B$4:$F$52,4,FALSE)</f>
        <v>9000</v>
      </c>
      <c r="F16" s="125">
        <f>VLOOKUP($A16,'Dairy Animal Numbers, Mass, Mil'!$B$4:$F$52,5,FALSE)</f>
        <v>21000</v>
      </c>
      <c r="G16" s="126">
        <f>VLOOKUP(A16,'iFeeder TMR rations'!$T$3:$Y$50,5,FALSE)</f>
        <v>40.151445928738795</v>
      </c>
      <c r="H16" s="127">
        <v>23</v>
      </c>
      <c r="I16" s="128">
        <f t="shared" si="0"/>
        <v>148.96206385345343</v>
      </c>
      <c r="J16" s="129">
        <f t="shared" si="1"/>
        <v>25.82302</v>
      </c>
      <c r="K16" s="129">
        <f t="shared" si="2"/>
        <v>37.970219999999998</v>
      </c>
      <c r="L16" s="129">
        <f t="shared" si="3"/>
        <v>68.945580000000007</v>
      </c>
      <c r="M16" s="130">
        <f>(('Dairy Enteric Inventory'!C16*'Dairy Enteric Inventory'!I16)/1000/1000000)*28</f>
        <v>0.33784596081963236</v>
      </c>
      <c r="N16" s="130">
        <f>(('Dairy Enteric Inventory'!D16*'Dairy Enteric Inventory'!J16)/1000/1000000)*28</f>
        <v>3.0367871520000006E-2</v>
      </c>
      <c r="O16" s="130">
        <f>(('Dairy Enteric Inventory'!E16*'Dairy Enteric Inventory'!K16)/1000/1000000)*28</f>
        <v>9.568495439999998E-3</v>
      </c>
      <c r="P16" s="130">
        <f>(('Dairy Enteric Inventory'!F16*'Dairy Enteric Inventory'!L16)/1000/1000000)*28</f>
        <v>4.0540001040000009E-2</v>
      </c>
      <c r="Q16" s="43">
        <f t="shared" si="4"/>
        <v>0.41832232881963233</v>
      </c>
    </row>
    <row r="17" spans="1:17" ht="15.75" customHeight="1">
      <c r="A17" s="109" t="s">
        <v>48</v>
      </c>
      <c r="B17" s="45" t="s">
        <v>147</v>
      </c>
      <c r="C17" s="131">
        <f>VLOOKUP(A17,'Dairy Animal Numbers, Mass, Mil'!$B$4:$H$51,2,FALSE)</f>
        <v>215000</v>
      </c>
      <c r="D17" s="125">
        <f>VLOOKUP($A17,'Dairy Animal Numbers, Mass, Mil'!$B$4:$F$52,3,FALSE)</f>
        <v>111000</v>
      </c>
      <c r="E17" s="125">
        <f>VLOOKUP($A17,'Dairy Animal Numbers, Mass, Mil'!$B$4:$F$52,4,FALSE)</f>
        <v>33000</v>
      </c>
      <c r="F17" s="125">
        <f>VLOOKUP($A17,'Dairy Animal Numbers, Mass, Mil'!$B$4:$F$52,5,FALSE)</f>
        <v>80000</v>
      </c>
      <c r="G17" s="126">
        <f>VLOOKUP(A17,'iFeeder TMR rations'!$T$3:$Y$50,5,FALSE)</f>
        <v>38.317344870579902</v>
      </c>
      <c r="H17" s="127">
        <v>23</v>
      </c>
      <c r="I17" s="128">
        <f t="shared" si="0"/>
        <v>147.24158535584746</v>
      </c>
      <c r="J17" s="129">
        <f t="shared" si="1"/>
        <v>25.82302</v>
      </c>
      <c r="K17" s="129">
        <f t="shared" si="2"/>
        <v>37.970219999999998</v>
      </c>
      <c r="L17" s="129">
        <f t="shared" si="3"/>
        <v>68.945580000000007</v>
      </c>
      <c r="M17" s="130">
        <f>(('Dairy Enteric Inventory'!C17*'Dairy Enteric Inventory'!I17)/1000/1000000)*28</f>
        <v>0.88639434384220173</v>
      </c>
      <c r="N17" s="130">
        <f>(('Dairy Enteric Inventory'!D17*'Dairy Enteric Inventory'!J17)/1000/1000000)*28</f>
        <v>8.025794616000001E-2</v>
      </c>
      <c r="O17" s="130">
        <f>(('Dairy Enteric Inventory'!E17*'Dairy Enteric Inventory'!K17)/1000/1000000)*28</f>
        <v>3.5084483280000002E-2</v>
      </c>
      <c r="P17" s="130">
        <f>(('Dairy Enteric Inventory'!F17*'Dairy Enteric Inventory'!L17)/1000/1000000)*28</f>
        <v>0.15443809920000001</v>
      </c>
      <c r="Q17" s="43">
        <f t="shared" si="4"/>
        <v>1.1561748724822019</v>
      </c>
    </row>
    <row r="18" spans="1:17" ht="15.75" customHeight="1">
      <c r="A18" s="109" t="s">
        <v>49</v>
      </c>
      <c r="B18" s="45" t="s">
        <v>147</v>
      </c>
      <c r="C18" s="131">
        <f>VLOOKUP(A18,'Dairy Animal Numbers, Mass, Mil'!$B$4:$H$51,2,FALSE)</f>
        <v>640000</v>
      </c>
      <c r="D18" s="125">
        <f>VLOOKUP($A18,'Dairy Animal Numbers, Mass, Mil'!$B$4:$F$52,3,FALSE)</f>
        <v>331000</v>
      </c>
      <c r="E18" s="125">
        <f>VLOOKUP($A18,'Dairy Animal Numbers, Mass, Mil'!$B$4:$F$52,4,FALSE)</f>
        <v>96000</v>
      </c>
      <c r="F18" s="125">
        <f>VLOOKUP($A18,'Dairy Animal Numbers, Mass, Mil'!$B$4:$F$52,5,FALSE)</f>
        <v>231000</v>
      </c>
      <c r="G18" s="126">
        <f>VLOOKUP(A18,'iFeeder TMR rations'!$T$3:$Y$50,5,FALSE)</f>
        <v>38.55157076486767</v>
      </c>
      <c r="H18" s="127">
        <v>23</v>
      </c>
      <c r="I18" s="128">
        <f t="shared" si="0"/>
        <v>147.46130095598411</v>
      </c>
      <c r="J18" s="129">
        <f t="shared" si="1"/>
        <v>25.82302</v>
      </c>
      <c r="K18" s="129">
        <f t="shared" si="2"/>
        <v>37.970219999999998</v>
      </c>
      <c r="L18" s="129">
        <f t="shared" si="3"/>
        <v>68.945580000000007</v>
      </c>
      <c r="M18" s="130">
        <f>(('Dairy Enteric Inventory'!C18*'Dairy Enteric Inventory'!I18)/1000/1000000)*28</f>
        <v>2.6425065131312353</v>
      </c>
      <c r="N18" s="130">
        <f>(('Dairy Enteric Inventory'!D18*'Dairy Enteric Inventory'!J18)/1000/1000000)*28</f>
        <v>0.23932774935999995</v>
      </c>
      <c r="O18" s="130">
        <f>(('Dairy Enteric Inventory'!E18*'Dairy Enteric Inventory'!K18)/1000/1000000)*28</f>
        <v>0.10206395135999999</v>
      </c>
      <c r="P18" s="130">
        <f>(('Dairy Enteric Inventory'!F18*'Dairy Enteric Inventory'!L18)/1000/1000000)*28</f>
        <v>0.44594001144000001</v>
      </c>
      <c r="Q18" s="43">
        <f t="shared" si="4"/>
        <v>3.4298382252912352</v>
      </c>
    </row>
    <row r="19" spans="1:17" ht="15.75" customHeight="1">
      <c r="A19" s="109" t="s">
        <v>50</v>
      </c>
      <c r="B19" s="45" t="s">
        <v>147</v>
      </c>
      <c r="C19" s="131">
        <f>VLOOKUP(A19,'Dairy Animal Numbers, Mass, Mil'!$B$4:$H$51,2,FALSE)</f>
        <v>82000</v>
      </c>
      <c r="D19" s="125">
        <f>VLOOKUP($A19,'Dairy Animal Numbers, Mass, Mil'!$B$4:$F$52,3,FALSE)</f>
        <v>42000</v>
      </c>
      <c r="E19" s="125">
        <f>VLOOKUP($A19,'Dairy Animal Numbers, Mass, Mil'!$B$4:$F$52,4,FALSE)</f>
        <v>13000</v>
      </c>
      <c r="F19" s="125">
        <f>VLOOKUP($A19,'Dairy Animal Numbers, Mass, Mil'!$B$4:$F$52,5,FALSE)</f>
        <v>31000</v>
      </c>
      <c r="G19" s="126">
        <f>VLOOKUP(A19,'iFeeder TMR rations'!$T$3:$Y$50,5,FALSE)</f>
        <v>39.033810636808219</v>
      </c>
      <c r="H19" s="127">
        <v>23</v>
      </c>
      <c r="I19" s="128">
        <f t="shared" si="0"/>
        <v>147.91366606785797</v>
      </c>
      <c r="J19" s="129">
        <f t="shared" si="1"/>
        <v>25.82302</v>
      </c>
      <c r="K19" s="129">
        <f t="shared" si="2"/>
        <v>37.970219999999998</v>
      </c>
      <c r="L19" s="129">
        <f t="shared" si="3"/>
        <v>68.945580000000007</v>
      </c>
      <c r="M19" s="130">
        <f>(('Dairy Enteric Inventory'!C19*'Dairy Enteric Inventory'!I19)/1000/1000000)*28</f>
        <v>0.33960977729180192</v>
      </c>
      <c r="N19" s="130">
        <f>(('Dairy Enteric Inventory'!D19*'Dairy Enteric Inventory'!J19)/1000/1000000)*28</f>
        <v>3.0367871520000006E-2</v>
      </c>
      <c r="O19" s="130">
        <f>(('Dairy Enteric Inventory'!E19*'Dairy Enteric Inventory'!K19)/1000/1000000)*28</f>
        <v>1.3821160079999999E-2</v>
      </c>
      <c r="P19" s="130">
        <f>(('Dairy Enteric Inventory'!F19*'Dairy Enteric Inventory'!L19)/1000/1000000)*28</f>
        <v>5.9844763440000004E-2</v>
      </c>
      <c r="Q19" s="43">
        <f t="shared" si="4"/>
        <v>0.44364357233180196</v>
      </c>
    </row>
    <row r="20" spans="1:17" ht="15.75" customHeight="1">
      <c r="A20" s="109" t="s">
        <v>51</v>
      </c>
      <c r="B20" s="45" t="s">
        <v>147</v>
      </c>
      <c r="C20" s="131">
        <f>VLOOKUP(A20,'Dairy Animal Numbers, Mass, Mil'!$B$4:$H$51,2,FALSE)</f>
        <v>176000</v>
      </c>
      <c r="D20" s="125">
        <f>VLOOKUP($A20,'Dairy Animal Numbers, Mass, Mil'!$B$4:$F$52,3,FALSE)</f>
        <v>91000</v>
      </c>
      <c r="E20" s="125">
        <f>VLOOKUP($A20,'Dairy Animal Numbers, Mass, Mil'!$B$4:$F$52,4,FALSE)</f>
        <v>22000</v>
      </c>
      <c r="F20" s="125">
        <f>VLOOKUP($A20,'Dairy Animal Numbers, Mass, Mil'!$B$4:$F$52,5,FALSE)</f>
        <v>52000</v>
      </c>
      <c r="G20" s="126">
        <f>VLOOKUP(A20,'iFeeder TMR rations'!$T$3:$Y$50,5,FALSE)</f>
        <v>39.309889172269166</v>
      </c>
      <c r="H20" s="127">
        <v>23</v>
      </c>
      <c r="I20" s="128">
        <f t="shared" si="0"/>
        <v>148.17264153804706</v>
      </c>
      <c r="J20" s="129">
        <f t="shared" si="1"/>
        <v>25.82302</v>
      </c>
      <c r="K20" s="129">
        <f t="shared" si="2"/>
        <v>37.970219999999998</v>
      </c>
      <c r="L20" s="129">
        <f t="shared" si="3"/>
        <v>68.945580000000007</v>
      </c>
      <c r="M20" s="130">
        <f>(('Dairy Enteric Inventory'!C20*'Dairy Enteric Inventory'!I20)/1000/1000000)*28</f>
        <v>0.73019477749949602</v>
      </c>
      <c r="N20" s="130">
        <f>(('Dairy Enteric Inventory'!D20*'Dairy Enteric Inventory'!J20)/1000/1000000)*28</f>
        <v>6.5797054960000004E-2</v>
      </c>
      <c r="O20" s="130">
        <f>(('Dairy Enteric Inventory'!E20*'Dairy Enteric Inventory'!K20)/1000/1000000)*28</f>
        <v>2.338965552E-2</v>
      </c>
      <c r="P20" s="130">
        <f>(('Dairy Enteric Inventory'!F20*'Dairy Enteric Inventory'!L20)/1000/1000000)*28</f>
        <v>0.10038476448</v>
      </c>
      <c r="Q20" s="43">
        <f t="shared" si="4"/>
        <v>0.91976625245949606</v>
      </c>
    </row>
    <row r="21" spans="1:17" ht="15.75" customHeight="1">
      <c r="A21" s="109" t="s">
        <v>52</v>
      </c>
      <c r="B21" s="45" t="s">
        <v>147</v>
      </c>
      <c r="C21" s="131">
        <f>VLOOKUP(A21,'Dairy Animal Numbers, Mass, Mil'!$B$4:$H$51,2,FALSE)</f>
        <v>167000</v>
      </c>
      <c r="D21" s="125">
        <f>VLOOKUP($A21,'Dairy Animal Numbers, Mass, Mil'!$B$4:$F$52,3,FALSE)</f>
        <v>86000</v>
      </c>
      <c r="E21" s="125">
        <f>VLOOKUP($A21,'Dairy Animal Numbers, Mass, Mil'!$B$4:$F$52,4,FALSE)</f>
        <v>41000</v>
      </c>
      <c r="F21" s="125">
        <f>VLOOKUP($A21,'Dairy Animal Numbers, Mass, Mil'!$B$4:$F$52,5,FALSE)</f>
        <v>98000</v>
      </c>
      <c r="G21" s="126">
        <f>VLOOKUP(A21,'iFeeder TMR rations'!$T$3:$Y$50,5,FALSE)</f>
        <v>39.060378749838819</v>
      </c>
      <c r="H21" s="127">
        <v>23</v>
      </c>
      <c r="I21" s="128">
        <f t="shared" si="0"/>
        <v>147.93858828628632</v>
      </c>
      <c r="J21" s="129">
        <f t="shared" si="1"/>
        <v>25.82302</v>
      </c>
      <c r="K21" s="129">
        <f t="shared" si="2"/>
        <v>37.970219999999998</v>
      </c>
      <c r="L21" s="129">
        <f t="shared" si="3"/>
        <v>68.945580000000007</v>
      </c>
      <c r="M21" s="130">
        <f>(('Dairy Enteric Inventory'!C21*'Dairy Enteric Inventory'!I21)/1000/1000000)*28</f>
        <v>0.69176083882667483</v>
      </c>
      <c r="N21" s="130">
        <f>(('Dairy Enteric Inventory'!D21*'Dairy Enteric Inventory'!J21)/1000/1000000)*28</f>
        <v>6.2181832159999992E-2</v>
      </c>
      <c r="O21" s="130">
        <f>(('Dairy Enteric Inventory'!E21*'Dairy Enteric Inventory'!K21)/1000/1000000)*28</f>
        <v>4.3589812560000003E-2</v>
      </c>
      <c r="P21" s="130">
        <f>(('Dairy Enteric Inventory'!F21*'Dairy Enteric Inventory'!L21)/1000/1000000)*28</f>
        <v>0.18918667152000002</v>
      </c>
      <c r="Q21" s="43">
        <f t="shared" si="4"/>
        <v>0.98671915506667485</v>
      </c>
    </row>
    <row r="22" spans="1:17" ht="15.75" customHeight="1">
      <c r="A22" s="109" t="s">
        <v>53</v>
      </c>
      <c r="B22" s="45" t="s">
        <v>147</v>
      </c>
      <c r="C22" s="131">
        <f>VLOOKUP(A22,'Dairy Animal Numbers, Mass, Mil'!$B$4:$H$51,2,FALSE)</f>
        <v>49000</v>
      </c>
      <c r="D22" s="125">
        <f>VLOOKUP($A22,'Dairy Animal Numbers, Mass, Mil'!$B$4:$F$52,3,FALSE)</f>
        <v>25000</v>
      </c>
      <c r="E22" s="125">
        <f>VLOOKUP($A22,'Dairy Animal Numbers, Mass, Mil'!$B$4:$F$52,4,FALSE)</f>
        <v>12000</v>
      </c>
      <c r="F22" s="125">
        <f>VLOOKUP($A22,'Dairy Animal Numbers, Mass, Mil'!$B$4:$F$52,5,FALSE)</f>
        <v>28000</v>
      </c>
      <c r="G22" s="126">
        <f>VLOOKUP(A22,'iFeeder TMR rations'!$T$3:$Y$50,5,FALSE)</f>
        <v>37.626307466220098</v>
      </c>
      <c r="H22" s="127">
        <v>23</v>
      </c>
      <c r="I22" s="128">
        <f t="shared" si="0"/>
        <v>146.59335771868774</v>
      </c>
      <c r="J22" s="129">
        <f t="shared" si="1"/>
        <v>25.82302</v>
      </c>
      <c r="K22" s="129">
        <f t="shared" si="2"/>
        <v>37.970219999999998</v>
      </c>
      <c r="L22" s="129">
        <f t="shared" si="3"/>
        <v>68.945580000000007</v>
      </c>
      <c r="M22" s="130">
        <f>(('Dairy Enteric Inventory'!C22*'Dairy Enteric Inventory'!I22)/1000/1000000)*28</f>
        <v>0.20112608679003957</v>
      </c>
      <c r="N22" s="130">
        <f>(('Dairy Enteric Inventory'!D22*'Dairy Enteric Inventory'!J22)/1000/1000000)*28</f>
        <v>1.8076114000000001E-2</v>
      </c>
      <c r="O22" s="130">
        <f>(('Dairy Enteric Inventory'!E22*'Dairy Enteric Inventory'!K22)/1000/1000000)*28</f>
        <v>1.2757993919999999E-2</v>
      </c>
      <c r="P22" s="130">
        <f>(('Dairy Enteric Inventory'!F22*'Dairy Enteric Inventory'!L22)/1000/1000000)*28</f>
        <v>5.4053334720000006E-2</v>
      </c>
      <c r="Q22" s="43">
        <f t="shared" si="4"/>
        <v>0.28601352943003955</v>
      </c>
    </row>
    <row r="23" spans="1:17" ht="15.75" customHeight="1">
      <c r="A23" s="109" t="s">
        <v>54</v>
      </c>
      <c r="B23" s="45" t="s">
        <v>147</v>
      </c>
      <c r="C23" s="131">
        <f>VLOOKUP(A23,'Dairy Animal Numbers, Mass, Mil'!$B$4:$H$51,2,FALSE)</f>
        <v>10000</v>
      </c>
      <c r="D23" s="125">
        <f>VLOOKUP($A23,'Dairy Animal Numbers, Mass, Mil'!$B$4:$F$52,3,FALSE)</f>
        <v>5000</v>
      </c>
      <c r="E23" s="125">
        <f>VLOOKUP($A23,'Dairy Animal Numbers, Mass, Mil'!$B$4:$F$52,4,FALSE)</f>
        <v>1000</v>
      </c>
      <c r="F23" s="125">
        <f>VLOOKUP($A23,'Dairy Animal Numbers, Mass, Mil'!$B$4:$F$52,5,FALSE)</f>
        <v>2000</v>
      </c>
      <c r="G23" s="126">
        <f>VLOOKUP(A23,'iFeeder TMR rations'!$T$3:$Y$50,5,FALSE)</f>
        <v>40.148516777138141</v>
      </c>
      <c r="H23" s="127">
        <v>23</v>
      </c>
      <c r="I23" s="128">
        <f t="shared" si="0"/>
        <v>148.95931616279444</v>
      </c>
      <c r="J23" s="129">
        <f t="shared" si="1"/>
        <v>25.82302</v>
      </c>
      <c r="K23" s="129">
        <f t="shared" si="2"/>
        <v>37.970219999999998</v>
      </c>
      <c r="L23" s="129">
        <f t="shared" si="3"/>
        <v>68.945580000000007</v>
      </c>
      <c r="M23" s="130">
        <f>(('Dairy Enteric Inventory'!C23*'Dairy Enteric Inventory'!I23)/1000/1000000)*28</f>
        <v>4.170860852558244E-2</v>
      </c>
      <c r="N23" s="130">
        <f>(('Dairy Enteric Inventory'!D23*'Dairy Enteric Inventory'!J23)/1000/1000000)*28</f>
        <v>3.6152227999999998E-3</v>
      </c>
      <c r="O23" s="130">
        <f>(('Dairy Enteric Inventory'!E23*'Dairy Enteric Inventory'!K23)/1000/1000000)*28</f>
        <v>1.0631661599999999E-3</v>
      </c>
      <c r="P23" s="130">
        <f>(('Dairy Enteric Inventory'!F23*'Dairy Enteric Inventory'!L23)/1000/1000000)*28</f>
        <v>3.8609524800000006E-3</v>
      </c>
      <c r="Q23" s="43">
        <f t="shared" si="4"/>
        <v>5.0247949965582434E-2</v>
      </c>
    </row>
    <row r="24" spans="1:17" ht="15.75" customHeight="1">
      <c r="A24" s="109" t="s">
        <v>55</v>
      </c>
      <c r="B24" s="45" t="s">
        <v>147</v>
      </c>
      <c r="C24" s="131">
        <f>VLOOKUP(A24,'Dairy Animal Numbers, Mass, Mil'!$B$4:$H$51,2,FALSE)</f>
        <v>10000</v>
      </c>
      <c r="D24" s="125">
        <f>VLOOKUP($A24,'Dairy Animal Numbers, Mass, Mil'!$B$4:$F$52,3,FALSE)</f>
        <v>5000</v>
      </c>
      <c r="E24" s="125">
        <f>VLOOKUP($A24,'Dairy Animal Numbers, Mass, Mil'!$B$4:$F$52,4,FALSE)</f>
        <v>2000</v>
      </c>
      <c r="F24" s="125">
        <f>VLOOKUP($A24,'Dairy Animal Numbers, Mass, Mil'!$B$4:$F$52,5,FALSE)</f>
        <v>5000</v>
      </c>
      <c r="G24" s="126">
        <f>VLOOKUP(A24,'iFeeder TMR rations'!$T$3:$Y$50,5,FALSE)</f>
        <v>40.760800133827466</v>
      </c>
      <c r="H24" s="127">
        <v>23</v>
      </c>
      <c r="I24" s="128">
        <f t="shared" si="0"/>
        <v>149.53366856553686</v>
      </c>
      <c r="J24" s="129">
        <f t="shared" si="1"/>
        <v>25.82302</v>
      </c>
      <c r="K24" s="129">
        <f t="shared" si="2"/>
        <v>37.970219999999998</v>
      </c>
      <c r="L24" s="129">
        <f t="shared" si="3"/>
        <v>68.945580000000007</v>
      </c>
      <c r="M24" s="130">
        <f>(('Dairy Enteric Inventory'!C24*'Dairy Enteric Inventory'!I24)/1000/1000000)*28</f>
        <v>4.1869427198350316E-2</v>
      </c>
      <c r="N24" s="130">
        <f>(('Dairy Enteric Inventory'!D24*'Dairy Enteric Inventory'!J24)/1000/1000000)*28</f>
        <v>3.6152227999999998E-3</v>
      </c>
      <c r="O24" s="130">
        <f>(('Dairy Enteric Inventory'!E24*'Dairy Enteric Inventory'!K24)/1000/1000000)*28</f>
        <v>2.1263323199999999E-3</v>
      </c>
      <c r="P24" s="130">
        <f>(('Dairy Enteric Inventory'!F24*'Dairy Enteric Inventory'!L24)/1000/1000000)*28</f>
        <v>9.6523812000000007E-3</v>
      </c>
      <c r="Q24" s="43">
        <f t="shared" si="4"/>
        <v>5.7263363518350319E-2</v>
      </c>
    </row>
    <row r="25" spans="1:17" ht="15.75" customHeight="1">
      <c r="A25" s="109" t="s">
        <v>56</v>
      </c>
      <c r="B25" s="45" t="s">
        <v>147</v>
      </c>
      <c r="C25" s="131">
        <f>VLOOKUP(A25,'Dairy Animal Numbers, Mass, Mil'!$B$4:$H$51,2,FALSE)</f>
        <v>42000</v>
      </c>
      <c r="D25" s="125">
        <f>VLOOKUP($A25,'Dairy Animal Numbers, Mass, Mil'!$B$4:$F$52,3,FALSE)</f>
        <v>22000</v>
      </c>
      <c r="E25" s="125">
        <f>VLOOKUP($A25,'Dairy Animal Numbers, Mass, Mil'!$B$4:$F$52,4,FALSE)</f>
        <v>8000</v>
      </c>
      <c r="F25" s="125">
        <f>VLOOKUP($A25,'Dairy Animal Numbers, Mass, Mil'!$B$4:$F$52,5,FALSE)</f>
        <v>18000</v>
      </c>
      <c r="G25" s="126">
        <f>VLOOKUP(A25,'iFeeder TMR rations'!$T$3:$Y$50,5,FALSE)</f>
        <v>40.719484363877278</v>
      </c>
      <c r="H25" s="127">
        <v>23</v>
      </c>
      <c r="I25" s="128">
        <f t="shared" si="0"/>
        <v>149.49491230753512</v>
      </c>
      <c r="J25" s="129">
        <f t="shared" si="1"/>
        <v>25.82302</v>
      </c>
      <c r="K25" s="129">
        <f t="shared" si="2"/>
        <v>37.970219999999998</v>
      </c>
      <c r="L25" s="129">
        <f t="shared" si="3"/>
        <v>68.945580000000007</v>
      </c>
      <c r="M25" s="130">
        <f>(('Dairy Enteric Inventory'!C25*'Dairy Enteric Inventory'!I25)/1000/1000000)*28</f>
        <v>0.17580601687366129</v>
      </c>
      <c r="N25" s="130">
        <f>(('Dairy Enteric Inventory'!D25*'Dairy Enteric Inventory'!J25)/1000/1000000)*28</f>
        <v>1.590698032E-2</v>
      </c>
      <c r="O25" s="130">
        <f>(('Dairy Enteric Inventory'!E25*'Dairy Enteric Inventory'!K25)/1000/1000000)*28</f>
        <v>8.5053292799999996E-3</v>
      </c>
      <c r="P25" s="130">
        <f>(('Dairy Enteric Inventory'!F25*'Dairy Enteric Inventory'!L25)/1000/1000000)*28</f>
        <v>3.4748572320000004E-2</v>
      </c>
      <c r="Q25" s="43">
        <f t="shared" si="4"/>
        <v>0.23496689879366131</v>
      </c>
    </row>
    <row r="26" spans="1:17" ht="15.75" customHeight="1">
      <c r="A26" s="109" t="s">
        <v>57</v>
      </c>
      <c r="B26" s="45" t="s">
        <v>147</v>
      </c>
      <c r="C26" s="131">
        <f>VLOOKUP(A26,'Dairy Animal Numbers, Mass, Mil'!$B$4:$H$51,2,FALSE)</f>
        <v>28000</v>
      </c>
      <c r="D26" s="125">
        <f>VLOOKUP($A26,'Dairy Animal Numbers, Mass, Mil'!$B$4:$F$52,3,FALSE)</f>
        <v>14000</v>
      </c>
      <c r="E26" s="125">
        <f>VLOOKUP($A26,'Dairy Animal Numbers, Mass, Mil'!$B$4:$F$52,4,FALSE)</f>
        <v>4000</v>
      </c>
      <c r="F26" s="125">
        <f>VLOOKUP($A26,'Dairy Animal Numbers, Mass, Mil'!$B$4:$F$52,5,FALSE)</f>
        <v>10000</v>
      </c>
      <c r="G26" s="126">
        <f>VLOOKUP(A26,'iFeeder TMR rations'!$T$3:$Y$50,5,FALSE)</f>
        <v>40.736260839274365</v>
      </c>
      <c r="H26" s="127">
        <v>23</v>
      </c>
      <c r="I26" s="128">
        <f t="shared" si="0"/>
        <v>149.5106494802813</v>
      </c>
      <c r="J26" s="129">
        <f t="shared" si="1"/>
        <v>25.82302</v>
      </c>
      <c r="K26" s="129">
        <f t="shared" si="2"/>
        <v>37.970219999999998</v>
      </c>
      <c r="L26" s="129">
        <f t="shared" si="3"/>
        <v>68.945580000000007</v>
      </c>
      <c r="M26" s="130">
        <f>(('Dairy Enteric Inventory'!C26*'Dairy Enteric Inventory'!I26)/1000/1000000)*28</f>
        <v>0.11721634919254054</v>
      </c>
      <c r="N26" s="130">
        <f>(('Dairy Enteric Inventory'!D26*'Dairy Enteric Inventory'!J26)/1000/1000000)*28</f>
        <v>1.0122623839999999E-2</v>
      </c>
      <c r="O26" s="130">
        <f>(('Dairy Enteric Inventory'!E26*'Dairy Enteric Inventory'!K26)/1000/1000000)*28</f>
        <v>4.2526646399999998E-3</v>
      </c>
      <c r="P26" s="130">
        <f>(('Dairy Enteric Inventory'!F26*'Dairy Enteric Inventory'!L26)/1000/1000000)*28</f>
        <v>1.9304762400000001E-2</v>
      </c>
      <c r="Q26" s="43">
        <f t="shared" si="4"/>
        <v>0.15089640007254054</v>
      </c>
    </row>
    <row r="27" spans="1:17" ht="15.75" customHeight="1">
      <c r="A27" s="109" t="s">
        <v>58</v>
      </c>
      <c r="B27" s="132" t="s">
        <v>147</v>
      </c>
      <c r="C27" s="131">
        <f>VLOOKUP(A27,'Dairy Animal Numbers, Mass, Mil'!$B$4:$H$51,2,FALSE)</f>
        <v>427000</v>
      </c>
      <c r="D27" s="125">
        <f>VLOOKUP($A27,'Dairy Animal Numbers, Mass, Mil'!$B$4:$F$52,3,FALSE)</f>
        <v>221000</v>
      </c>
      <c r="E27" s="125">
        <f>VLOOKUP($A27,'Dairy Animal Numbers, Mass, Mil'!$B$4:$F$52,4,FALSE)</f>
        <v>51000</v>
      </c>
      <c r="F27" s="125">
        <f>VLOOKUP($A27,'Dairy Animal Numbers, Mass, Mil'!$B$4:$F$52,5,FALSE)</f>
        <v>122000</v>
      </c>
      <c r="G27" s="126">
        <f>VLOOKUP(A27,'iFeeder TMR rations'!$T$3:$Y$50,5,FALSE)</f>
        <v>39.415067898429655</v>
      </c>
      <c r="H27" s="127">
        <v>23</v>
      </c>
      <c r="I27" s="128">
        <f t="shared" si="0"/>
        <v>148.27130444212193</v>
      </c>
      <c r="J27" s="129">
        <f t="shared" si="1"/>
        <v>25.82302</v>
      </c>
      <c r="K27" s="129">
        <f t="shared" si="2"/>
        <v>37.970219999999998</v>
      </c>
      <c r="L27" s="129">
        <f t="shared" si="3"/>
        <v>68.945580000000007</v>
      </c>
      <c r="M27" s="130">
        <f>(('Dairy Enteric Inventory'!C27*'Dairy Enteric Inventory'!I27)/1000/1000000)*28</f>
        <v>1.7727317159100098</v>
      </c>
      <c r="N27" s="130">
        <f>(('Dairy Enteric Inventory'!D27*'Dairy Enteric Inventory'!J27)/1000/1000000)*28</f>
        <v>0.15979284776</v>
      </c>
      <c r="O27" s="130">
        <f>(('Dairy Enteric Inventory'!E27*'Dairy Enteric Inventory'!K27)/1000/1000000)*28</f>
        <v>5.4221474159999998E-2</v>
      </c>
      <c r="P27" s="130">
        <f>(('Dairy Enteric Inventory'!F27*'Dairy Enteric Inventory'!L27)/1000/1000000)*28</f>
        <v>0.23551810128000006</v>
      </c>
      <c r="Q27" s="43">
        <f t="shared" si="4"/>
        <v>2.2222641391100098</v>
      </c>
    </row>
    <row r="28" spans="1:17" ht="15.75" customHeight="1">
      <c r="A28" s="109" t="s">
        <v>59</v>
      </c>
      <c r="B28" s="45" t="s">
        <v>147</v>
      </c>
      <c r="C28" s="131">
        <f>VLOOKUP(A28,'Dairy Animal Numbers, Mass, Mil'!$B$4:$H$51,2,FALSE)</f>
        <v>77000</v>
      </c>
      <c r="D28" s="125">
        <f>VLOOKUP($A28,'Dairy Animal Numbers, Mass, Mil'!$B$4:$F$52,3,FALSE)</f>
        <v>40000</v>
      </c>
      <c r="E28" s="125">
        <f>VLOOKUP($A28,'Dairy Animal Numbers, Mass, Mil'!$B$4:$F$52,4,FALSE)</f>
        <v>10000</v>
      </c>
      <c r="F28" s="125">
        <f>VLOOKUP($A28,'Dairy Animal Numbers, Mass, Mil'!$B$4:$F$52,5,FALSE)</f>
        <v>24000</v>
      </c>
      <c r="G28" s="126">
        <f>VLOOKUP(A28,'iFeeder TMR rations'!$T$3:$Y$50,5,FALSE)</f>
        <v>38.958970230935769</v>
      </c>
      <c r="H28" s="127">
        <v>23</v>
      </c>
      <c r="I28" s="128">
        <f t="shared" si="0"/>
        <v>147.8434620251293</v>
      </c>
      <c r="J28" s="129">
        <f t="shared" si="1"/>
        <v>25.82302</v>
      </c>
      <c r="K28" s="129">
        <f t="shared" si="2"/>
        <v>37.970219999999998</v>
      </c>
      <c r="L28" s="129">
        <f t="shared" si="3"/>
        <v>68.945580000000007</v>
      </c>
      <c r="M28" s="130">
        <f>(('Dairy Enteric Inventory'!C28*'Dairy Enteric Inventory'!I28)/1000/1000000)*28</f>
        <v>0.31875050412617872</v>
      </c>
      <c r="N28" s="130">
        <f>(('Dairy Enteric Inventory'!D28*'Dairy Enteric Inventory'!J28)/1000/1000000)*28</f>
        <v>2.8921782399999998E-2</v>
      </c>
      <c r="O28" s="130">
        <f>(('Dairy Enteric Inventory'!E28*'Dairy Enteric Inventory'!K28)/1000/1000000)*28</f>
        <v>1.0631661599999998E-2</v>
      </c>
      <c r="P28" s="130">
        <f>(('Dairy Enteric Inventory'!F28*'Dairy Enteric Inventory'!L28)/1000/1000000)*28</f>
        <v>4.6331429760000001E-2</v>
      </c>
      <c r="Q28" s="43">
        <f t="shared" si="4"/>
        <v>0.4046353778861787</v>
      </c>
    </row>
    <row r="29" spans="1:17" ht="15.75" customHeight="1">
      <c r="A29" s="109" t="s">
        <v>60</v>
      </c>
      <c r="B29" s="45" t="s">
        <v>147</v>
      </c>
      <c r="C29" s="131">
        <f>VLOOKUP(A29,'Dairy Animal Numbers, Mass, Mil'!$B$4:$H$51,2,FALSE)</f>
        <v>8000</v>
      </c>
      <c r="D29" s="125">
        <f>VLOOKUP($A29,'Dairy Animal Numbers, Mass, Mil'!$B$4:$F$52,3,FALSE)</f>
        <v>4000</v>
      </c>
      <c r="E29" s="125">
        <f>VLOOKUP($A29,'Dairy Animal Numbers, Mass, Mil'!$B$4:$F$52,4,FALSE)</f>
        <v>1000</v>
      </c>
      <c r="F29" s="125">
        <f>VLOOKUP($A29,'Dairy Animal Numbers, Mass, Mil'!$B$4:$F$52,5,FALSE)</f>
        <v>3000</v>
      </c>
      <c r="G29" s="126">
        <f>VLOOKUP(A29,'iFeeder TMR rations'!$T$3:$Y$50,5,FALSE)</f>
        <v>40.135334952562509</v>
      </c>
      <c r="H29" s="127">
        <v>23</v>
      </c>
      <c r="I29" s="128">
        <f t="shared" si="0"/>
        <v>148.94695095225129</v>
      </c>
      <c r="J29" s="129">
        <f t="shared" si="1"/>
        <v>25.82302</v>
      </c>
      <c r="K29" s="129">
        <f t="shared" si="2"/>
        <v>37.970219999999998</v>
      </c>
      <c r="L29" s="129">
        <f t="shared" si="3"/>
        <v>68.945580000000007</v>
      </c>
      <c r="M29" s="130">
        <f>(('Dairy Enteric Inventory'!C29*'Dairy Enteric Inventory'!I29)/1000/1000000)*28</f>
        <v>3.3364117013304287E-2</v>
      </c>
      <c r="N29" s="130">
        <f>(('Dairy Enteric Inventory'!D29*'Dairy Enteric Inventory'!J29)/1000/1000000)*28</f>
        <v>2.8921782400000004E-3</v>
      </c>
      <c r="O29" s="130">
        <f>(('Dairy Enteric Inventory'!E29*'Dairy Enteric Inventory'!K29)/1000/1000000)*28</f>
        <v>1.0631661599999999E-3</v>
      </c>
      <c r="P29" s="130">
        <f>(('Dairy Enteric Inventory'!F29*'Dairy Enteric Inventory'!L29)/1000/1000000)*28</f>
        <v>5.7914287200000001E-3</v>
      </c>
      <c r="Q29" s="43">
        <f t="shared" si="4"/>
        <v>4.3110890133304283E-2</v>
      </c>
    </row>
    <row r="30" spans="1:17" ht="15.75" customHeight="1">
      <c r="A30" s="109" t="s">
        <v>61</v>
      </c>
      <c r="B30" s="45" t="s">
        <v>147</v>
      </c>
      <c r="C30" s="131">
        <f>VLOOKUP(A30,'Dairy Animal Numbers, Mass, Mil'!$B$4:$H$51,2,FALSE)</f>
        <v>12000</v>
      </c>
      <c r="D30" s="125">
        <f>VLOOKUP($A30,'Dairy Animal Numbers, Mass, Mil'!$B$4:$F$52,3,FALSE)</f>
        <v>6000</v>
      </c>
      <c r="E30" s="125">
        <f>VLOOKUP($A30,'Dairy Animal Numbers, Mass, Mil'!$B$4:$F$52,4,FALSE)</f>
        <v>1000</v>
      </c>
      <c r="F30" s="125">
        <f>VLOOKUP($A30,'Dairy Animal Numbers, Mass, Mil'!$B$4:$F$52,5,FALSE)</f>
        <v>3000</v>
      </c>
      <c r="G30" s="126">
        <f>VLOOKUP(A30,'iFeeder TMR rations'!$T$3:$Y$50,5,FALSE)</f>
        <v>38.354189278231452</v>
      </c>
      <c r="H30" s="127">
        <v>23</v>
      </c>
      <c r="I30" s="128">
        <f t="shared" si="0"/>
        <v>147.27614725244501</v>
      </c>
      <c r="J30" s="129">
        <f t="shared" si="1"/>
        <v>25.82302</v>
      </c>
      <c r="K30" s="129">
        <f t="shared" si="2"/>
        <v>37.970219999999998</v>
      </c>
      <c r="L30" s="129">
        <f t="shared" si="3"/>
        <v>68.945580000000007</v>
      </c>
      <c r="M30" s="130">
        <f>(('Dairy Enteric Inventory'!C30*'Dairy Enteric Inventory'!I30)/1000/1000000)*28</f>
        <v>4.9484785476821523E-2</v>
      </c>
      <c r="N30" s="130">
        <f>(('Dairy Enteric Inventory'!D30*'Dairy Enteric Inventory'!J30)/1000/1000000)*28</f>
        <v>4.3382673600000001E-3</v>
      </c>
      <c r="O30" s="130">
        <f>(('Dairy Enteric Inventory'!E30*'Dairy Enteric Inventory'!K30)/1000/1000000)*28</f>
        <v>1.0631661599999999E-3</v>
      </c>
      <c r="P30" s="130">
        <f>(('Dairy Enteric Inventory'!F30*'Dairy Enteric Inventory'!L30)/1000/1000000)*28</f>
        <v>5.7914287200000001E-3</v>
      </c>
      <c r="Q30" s="43">
        <f t="shared" si="4"/>
        <v>6.067764771682152E-2</v>
      </c>
    </row>
    <row r="31" spans="1:17" ht="15.75" customHeight="1">
      <c r="A31" s="109" t="s">
        <v>62</v>
      </c>
      <c r="B31" s="45" t="s">
        <v>147</v>
      </c>
      <c r="C31" s="131">
        <f>VLOOKUP(A31,'Dairy Animal Numbers, Mass, Mil'!$B$4:$H$51,2,FALSE)</f>
        <v>41000</v>
      </c>
      <c r="D31" s="125">
        <f>VLOOKUP($A31,'Dairy Animal Numbers, Mass, Mil'!$B$4:$F$52,3,FALSE)</f>
        <v>21000</v>
      </c>
      <c r="E31" s="125">
        <f>VLOOKUP($A31,'Dairy Animal Numbers, Mass, Mil'!$B$4:$F$52,4,FALSE)</f>
        <v>5000</v>
      </c>
      <c r="F31" s="125">
        <f>VLOOKUP($A31,'Dairy Animal Numbers, Mass, Mil'!$B$4:$F$52,5,FALSE)</f>
        <v>13000</v>
      </c>
      <c r="G31" s="126">
        <f>VLOOKUP(A31,'iFeeder TMR rations'!$T$3:$Y$50,5,FALSE)</f>
        <v>37.147941122513707</v>
      </c>
      <c r="H31" s="127">
        <v>23</v>
      </c>
      <c r="I31" s="128">
        <f t="shared" si="0"/>
        <v>146.14462616997398</v>
      </c>
      <c r="J31" s="129">
        <f t="shared" si="1"/>
        <v>25.82302</v>
      </c>
      <c r="K31" s="129">
        <f t="shared" si="2"/>
        <v>37.970219999999998</v>
      </c>
      <c r="L31" s="129">
        <f t="shared" si="3"/>
        <v>68.945580000000007</v>
      </c>
      <c r="M31" s="130">
        <f>(('Dairy Enteric Inventory'!C31*'Dairy Enteric Inventory'!I31)/1000/1000000)*28</f>
        <v>0.16777403084313014</v>
      </c>
      <c r="N31" s="130">
        <f>(('Dairy Enteric Inventory'!D31*'Dairy Enteric Inventory'!J31)/1000/1000000)*28</f>
        <v>1.5183935760000003E-2</v>
      </c>
      <c r="O31" s="130">
        <f>(('Dairy Enteric Inventory'!E31*'Dairy Enteric Inventory'!K31)/1000/1000000)*28</f>
        <v>5.3158307999999991E-3</v>
      </c>
      <c r="P31" s="130">
        <f>(('Dairy Enteric Inventory'!F31*'Dairy Enteric Inventory'!L31)/1000/1000000)*28</f>
        <v>2.509619112E-2</v>
      </c>
      <c r="Q31" s="43">
        <f t="shared" si="4"/>
        <v>0.21336998852313013</v>
      </c>
    </row>
    <row r="32" spans="1:17" ht="15.75" customHeight="1">
      <c r="A32" s="109" t="s">
        <v>63</v>
      </c>
      <c r="B32" s="45" t="s">
        <v>147</v>
      </c>
      <c r="C32" s="131">
        <f>VLOOKUP(A32,'Dairy Animal Numbers, Mass, Mil'!$B$4:$H$51,2,FALSE)</f>
        <v>15000</v>
      </c>
      <c r="D32" s="125">
        <f>VLOOKUP($A32,'Dairy Animal Numbers, Mass, Mil'!$B$4:$F$52,3,FALSE)</f>
        <v>8000</v>
      </c>
      <c r="E32" s="125">
        <f>VLOOKUP($A32,'Dairy Animal Numbers, Mass, Mil'!$B$4:$F$52,4,FALSE)</f>
        <v>2000</v>
      </c>
      <c r="F32" s="125">
        <f>VLOOKUP($A32,'Dairy Animal Numbers, Mass, Mil'!$B$4:$F$52,5,FALSE)</f>
        <v>6000</v>
      </c>
      <c r="G32" s="126">
        <f>VLOOKUP(A32,'iFeeder TMR rations'!$T$3:$Y$50,5,FALSE)</f>
        <v>37.020931387087202</v>
      </c>
      <c r="H32" s="127">
        <v>23</v>
      </c>
      <c r="I32" s="128">
        <f t="shared" si="0"/>
        <v>146.02548468765715</v>
      </c>
      <c r="J32" s="129">
        <f t="shared" si="1"/>
        <v>25.82302</v>
      </c>
      <c r="K32" s="129">
        <f t="shared" si="2"/>
        <v>37.970219999999998</v>
      </c>
      <c r="L32" s="129">
        <f t="shared" si="3"/>
        <v>68.945580000000007</v>
      </c>
      <c r="M32" s="130">
        <f>(('Dairy Enteric Inventory'!C32*'Dairy Enteric Inventory'!I32)/1000/1000000)*28</f>
        <v>6.1330703568816008E-2</v>
      </c>
      <c r="N32" s="130">
        <f>(('Dairy Enteric Inventory'!D32*'Dairy Enteric Inventory'!J32)/1000/1000000)*28</f>
        <v>5.7843564800000007E-3</v>
      </c>
      <c r="O32" s="130">
        <f>(('Dairy Enteric Inventory'!E32*'Dairy Enteric Inventory'!K32)/1000/1000000)*28</f>
        <v>2.1263323199999999E-3</v>
      </c>
      <c r="P32" s="130">
        <f>(('Dairy Enteric Inventory'!F32*'Dairy Enteric Inventory'!L32)/1000/1000000)*28</f>
        <v>1.158285744E-2</v>
      </c>
      <c r="Q32" s="43">
        <f t="shared" si="4"/>
        <v>8.0824249808816001E-2</v>
      </c>
    </row>
    <row r="33" spans="1:17" ht="15.75" customHeight="1">
      <c r="A33" s="109" t="s">
        <v>64</v>
      </c>
      <c r="B33" s="45" t="s">
        <v>147</v>
      </c>
      <c r="C33" s="131">
        <f>VLOOKUP(A33,'Dairy Animal Numbers, Mass, Mil'!$B$4:$H$51,2,FALSE)</f>
        <v>58000</v>
      </c>
      <c r="D33" s="125">
        <f>VLOOKUP($A33,'Dairy Animal Numbers, Mass, Mil'!$B$4:$F$52,3,FALSE)</f>
        <v>30000</v>
      </c>
      <c r="E33" s="125">
        <f>VLOOKUP($A33,'Dairy Animal Numbers, Mass, Mil'!$B$4:$F$52,4,FALSE)</f>
        <v>9000</v>
      </c>
      <c r="F33" s="125">
        <f>VLOOKUP($A33,'Dairy Animal Numbers, Mass, Mil'!$B$4:$F$52,5,FALSE)</f>
        <v>21000</v>
      </c>
      <c r="G33" s="126">
        <f>VLOOKUP(A33,'iFeeder TMR rations'!$T$3:$Y$50,5,FALSE)</f>
        <v>38.788453151256441</v>
      </c>
      <c r="H33" s="127">
        <v>23</v>
      </c>
      <c r="I33" s="128">
        <f t="shared" si="0"/>
        <v>147.68350847853611</v>
      </c>
      <c r="J33" s="129">
        <f t="shared" si="1"/>
        <v>25.82302</v>
      </c>
      <c r="K33" s="129">
        <f t="shared" si="2"/>
        <v>37.970219999999998</v>
      </c>
      <c r="L33" s="129">
        <f t="shared" si="3"/>
        <v>68.945580000000007</v>
      </c>
      <c r="M33" s="130">
        <f>(('Dairy Enteric Inventory'!C33*'Dairy Enteric Inventory'!I33)/1000/1000000)*28</f>
        <v>0.23983801776914265</v>
      </c>
      <c r="N33" s="130">
        <f>(('Dairy Enteric Inventory'!D33*'Dairy Enteric Inventory'!J33)/1000/1000000)*28</f>
        <v>2.1691336800000002E-2</v>
      </c>
      <c r="O33" s="130">
        <f>(('Dairy Enteric Inventory'!E33*'Dairy Enteric Inventory'!K33)/1000/1000000)*28</f>
        <v>9.568495439999998E-3</v>
      </c>
      <c r="P33" s="130">
        <f>(('Dairy Enteric Inventory'!F33*'Dairy Enteric Inventory'!L33)/1000/1000000)*28</f>
        <v>4.0540001040000009E-2</v>
      </c>
      <c r="Q33" s="43">
        <f t="shared" si="4"/>
        <v>0.31163785104914266</v>
      </c>
    </row>
    <row r="34" spans="1:17" ht="15.75" customHeight="1">
      <c r="A34" s="109" t="s">
        <v>65</v>
      </c>
      <c r="B34" s="45" t="s">
        <v>147</v>
      </c>
      <c r="C34" s="131">
        <f>VLOOKUP(A34,'Dairy Animal Numbers, Mass, Mil'!$B$4:$H$51,2,FALSE)</f>
        <v>11000</v>
      </c>
      <c r="D34" s="125">
        <f>VLOOKUP($A34,'Dairy Animal Numbers, Mass, Mil'!$B$4:$F$52,3,FALSE)</f>
        <v>6000</v>
      </c>
      <c r="E34" s="125">
        <f>VLOOKUP($A34,'Dairy Animal Numbers, Mass, Mil'!$B$4:$F$52,4,FALSE)</f>
        <v>2000</v>
      </c>
      <c r="F34" s="125">
        <f>VLOOKUP($A34,'Dairy Animal Numbers, Mass, Mil'!$B$4:$F$52,5,FALSE)</f>
        <v>5000</v>
      </c>
      <c r="G34" s="126">
        <f>VLOOKUP(A34,'iFeeder TMR rations'!$T$3:$Y$50,5,FALSE)</f>
        <v>40.745053075211217</v>
      </c>
      <c r="H34" s="127">
        <v>23</v>
      </c>
      <c r="I34" s="128">
        <f t="shared" si="0"/>
        <v>149.5188970372019</v>
      </c>
      <c r="J34" s="129">
        <f t="shared" si="1"/>
        <v>25.82302</v>
      </c>
      <c r="K34" s="129">
        <f t="shared" si="2"/>
        <v>37.970219999999998</v>
      </c>
      <c r="L34" s="129">
        <f t="shared" si="3"/>
        <v>68.945580000000007</v>
      </c>
      <c r="M34" s="130">
        <f>(('Dairy Enteric Inventory'!C34*'Dairy Enteric Inventory'!I34)/1000/1000000)*28</f>
        <v>4.6051820287458183E-2</v>
      </c>
      <c r="N34" s="130">
        <f>(('Dairy Enteric Inventory'!D34*'Dairy Enteric Inventory'!J34)/1000/1000000)*28</f>
        <v>4.3382673600000001E-3</v>
      </c>
      <c r="O34" s="130">
        <f>(('Dairy Enteric Inventory'!E34*'Dairy Enteric Inventory'!K34)/1000/1000000)*28</f>
        <v>2.1263323199999999E-3</v>
      </c>
      <c r="P34" s="130">
        <f>(('Dairy Enteric Inventory'!F34*'Dairy Enteric Inventory'!L34)/1000/1000000)*28</f>
        <v>9.6523812000000007E-3</v>
      </c>
      <c r="Q34" s="43">
        <f t="shared" si="4"/>
        <v>6.2168801167458182E-2</v>
      </c>
    </row>
    <row r="35" spans="1:17" ht="15.75" customHeight="1">
      <c r="A35" s="109" t="s">
        <v>66</v>
      </c>
      <c r="B35" s="45" t="s">
        <v>147</v>
      </c>
      <c r="C35" s="131">
        <f>VLOOKUP(A35,'Dairy Animal Numbers, Mass, Mil'!$B$4:$H$51,2,FALSE)</f>
        <v>5000</v>
      </c>
      <c r="D35" s="125">
        <f>VLOOKUP($A35,'Dairy Animal Numbers, Mass, Mil'!$B$4:$F$52,3,FALSE)</f>
        <v>2000</v>
      </c>
      <c r="E35" s="125">
        <f>VLOOKUP($A35,'Dairy Animal Numbers, Mass, Mil'!$B$4:$F$52,4,FALSE)</f>
        <v>1000</v>
      </c>
      <c r="F35" s="125">
        <f>VLOOKUP($A35,'Dairy Animal Numbers, Mass, Mil'!$B$4:$F$52,5,FALSE)</f>
        <v>2000</v>
      </c>
      <c r="G35" s="126">
        <f>VLOOKUP(A35,'iFeeder TMR rations'!$T$3:$Y$50,5,FALSE)</f>
        <v>40.698670153341993</v>
      </c>
      <c r="H35" s="127">
        <v>23</v>
      </c>
      <c r="I35" s="128">
        <f t="shared" si="0"/>
        <v>149.47538753734247</v>
      </c>
      <c r="J35" s="129">
        <f t="shared" si="1"/>
        <v>25.82302</v>
      </c>
      <c r="K35" s="129">
        <f t="shared" si="2"/>
        <v>37.970219999999998</v>
      </c>
      <c r="L35" s="129">
        <f t="shared" si="3"/>
        <v>68.945580000000007</v>
      </c>
      <c r="M35" s="130">
        <f>(('Dairy Enteric Inventory'!C35*'Dairy Enteric Inventory'!I35)/1000/1000000)*28</f>
        <v>2.0926554255227946E-2</v>
      </c>
      <c r="N35" s="130">
        <f>(('Dairy Enteric Inventory'!D35*'Dairy Enteric Inventory'!J35)/1000/1000000)*28</f>
        <v>1.4460891200000002E-3</v>
      </c>
      <c r="O35" s="130">
        <f>(('Dairy Enteric Inventory'!E35*'Dairy Enteric Inventory'!K35)/1000/1000000)*28</f>
        <v>1.0631661599999999E-3</v>
      </c>
      <c r="P35" s="130">
        <f>(('Dairy Enteric Inventory'!F35*'Dairy Enteric Inventory'!L35)/1000/1000000)*28</f>
        <v>3.8609524800000006E-3</v>
      </c>
      <c r="Q35" s="43">
        <f t="shared" si="4"/>
        <v>2.7296762015227946E-2</v>
      </c>
    </row>
    <row r="36" spans="1:17" ht="15.75" customHeight="1">
      <c r="A36" s="110" t="s">
        <v>67</v>
      </c>
      <c r="B36" s="45" t="s">
        <v>147</v>
      </c>
      <c r="C36" s="131">
        <f>VLOOKUP(A36,'Dairy Animal Numbers, Mass, Mil'!$B$4:$H$51,2,FALSE)</f>
        <v>330000</v>
      </c>
      <c r="D36" s="125">
        <f>VLOOKUP($A36,'Dairy Animal Numbers, Mass, Mil'!$B$4:$F$52,3,FALSE)</f>
        <v>170000</v>
      </c>
      <c r="E36" s="125">
        <f>VLOOKUP($A36,'Dairy Animal Numbers, Mass, Mil'!$B$4:$F$52,4,FALSE)</f>
        <v>41000</v>
      </c>
      <c r="F36" s="125">
        <f>VLOOKUP($A36,'Dairy Animal Numbers, Mass, Mil'!$B$4:$F$52,5,FALSE)</f>
        <v>98000</v>
      </c>
      <c r="G36" s="126">
        <f>VLOOKUP(A36,'iFeeder TMR rations'!$T$3:$Y$50,5,FALSE)</f>
        <v>39.287468399090436</v>
      </c>
      <c r="H36" s="127">
        <v>23</v>
      </c>
      <c r="I36" s="128">
        <f t="shared" si="0"/>
        <v>148.15160973176677</v>
      </c>
      <c r="J36" s="129">
        <f t="shared" si="1"/>
        <v>25.82302</v>
      </c>
      <c r="K36" s="129">
        <f t="shared" si="2"/>
        <v>37.970219999999998</v>
      </c>
      <c r="L36" s="129">
        <f t="shared" si="3"/>
        <v>68.945580000000007</v>
      </c>
      <c r="M36" s="130">
        <f>(('Dairy Enteric Inventory'!C36*'Dairy Enteric Inventory'!I36)/1000/1000000)*28</f>
        <v>1.3689208739215248</v>
      </c>
      <c r="N36" s="130">
        <f>(('Dairy Enteric Inventory'!D36*'Dairy Enteric Inventory'!J36)/1000/1000000)*28</f>
        <v>0.12291757520000002</v>
      </c>
      <c r="O36" s="130">
        <f>(('Dairy Enteric Inventory'!E36*'Dairy Enteric Inventory'!K36)/1000/1000000)*28</f>
        <v>4.3589812560000003E-2</v>
      </c>
      <c r="P36" s="130">
        <f>(('Dairy Enteric Inventory'!F36*'Dairy Enteric Inventory'!L36)/1000/1000000)*28</f>
        <v>0.18918667152000002</v>
      </c>
      <c r="Q36" s="43">
        <f t="shared" si="4"/>
        <v>1.7246149332015248</v>
      </c>
    </row>
    <row r="37" spans="1:17" ht="15.75" customHeight="1">
      <c r="A37" s="110" t="s">
        <v>68</v>
      </c>
      <c r="B37" s="45" t="s">
        <v>147</v>
      </c>
      <c r="C37" s="131">
        <f>VLOOKUP(A37,'Dairy Animal Numbers, Mass, Mil'!$B$4:$H$51,2,FALSE)</f>
        <v>31000</v>
      </c>
      <c r="D37" s="125">
        <f>VLOOKUP($A37,'Dairy Animal Numbers, Mass, Mil'!$B$4:$F$52,3,FALSE)</f>
        <v>16000</v>
      </c>
      <c r="E37" s="125">
        <f>VLOOKUP($A37,'Dairy Animal Numbers, Mass, Mil'!$B$4:$F$52,4,FALSE)</f>
        <v>3000</v>
      </c>
      <c r="F37" s="125">
        <f>VLOOKUP($A37,'Dairy Animal Numbers, Mass, Mil'!$B$4:$F$52,5,FALSE)</f>
        <v>7000</v>
      </c>
      <c r="G37" s="126">
        <f>VLOOKUP(A37,'iFeeder TMR rations'!$T$3:$Y$50,5,FALSE)</f>
        <v>38.200770948289275</v>
      </c>
      <c r="H37" s="127">
        <v>23</v>
      </c>
      <c r="I37" s="128">
        <f t="shared" si="0"/>
        <v>147.13223318804276</v>
      </c>
      <c r="J37" s="129">
        <f t="shared" si="1"/>
        <v>25.82302</v>
      </c>
      <c r="K37" s="129">
        <f t="shared" si="2"/>
        <v>37.970219999999998</v>
      </c>
      <c r="L37" s="129">
        <f t="shared" si="3"/>
        <v>68.945580000000007</v>
      </c>
      <c r="M37" s="130">
        <f>(('Dairy Enteric Inventory'!C37*'Dairy Enteric Inventory'!I37)/1000/1000000)*28</f>
        <v>0.12771077840722111</v>
      </c>
      <c r="N37" s="130">
        <f>(('Dairy Enteric Inventory'!D37*'Dairy Enteric Inventory'!J37)/1000/1000000)*28</f>
        <v>1.1568712960000001E-2</v>
      </c>
      <c r="O37" s="130">
        <f>(('Dairy Enteric Inventory'!E37*'Dairy Enteric Inventory'!K37)/1000/1000000)*28</f>
        <v>3.1894984799999996E-3</v>
      </c>
      <c r="P37" s="130">
        <f>(('Dairy Enteric Inventory'!F37*'Dairy Enteric Inventory'!L37)/1000/1000000)*28</f>
        <v>1.3513333680000001E-2</v>
      </c>
      <c r="Q37" s="43">
        <f t="shared" si="4"/>
        <v>0.15598232352722111</v>
      </c>
    </row>
    <row r="38" spans="1:17" ht="15.75" customHeight="1">
      <c r="A38" s="110" t="s">
        <v>69</v>
      </c>
      <c r="B38" s="45" t="s">
        <v>147</v>
      </c>
      <c r="C38" s="131">
        <f>VLOOKUP(A38,'Dairy Animal Numbers, Mass, Mil'!$B$4:$H$51,2,FALSE)</f>
        <v>252000</v>
      </c>
      <c r="D38" s="125">
        <f>VLOOKUP($A38,'Dairy Animal Numbers, Mass, Mil'!$B$4:$F$52,3,FALSE)</f>
        <v>130000</v>
      </c>
      <c r="E38" s="125">
        <f>VLOOKUP($A38,'Dairy Animal Numbers, Mass, Mil'!$B$4:$F$52,4,FALSE)</f>
        <v>35000</v>
      </c>
      <c r="F38" s="125">
        <f>VLOOKUP($A38,'Dairy Animal Numbers, Mass, Mil'!$B$4:$F$52,5,FALSE)</f>
        <v>84000</v>
      </c>
      <c r="G38" s="126">
        <f>VLOOKUP(A38,'iFeeder TMR rations'!$T$3:$Y$50,5,FALSE)</f>
        <v>39.022538910913163</v>
      </c>
      <c r="H38" s="127">
        <v>23</v>
      </c>
      <c r="I38" s="128">
        <f t="shared" si="0"/>
        <v>147.9030926253821</v>
      </c>
      <c r="J38" s="129">
        <f t="shared" si="1"/>
        <v>25.82302</v>
      </c>
      <c r="K38" s="129">
        <f t="shared" si="2"/>
        <v>37.970219999999998</v>
      </c>
      <c r="L38" s="129">
        <f t="shared" si="3"/>
        <v>68.945580000000007</v>
      </c>
      <c r="M38" s="130">
        <f>(('Dairy Enteric Inventory'!C38*'Dairy Enteric Inventory'!I38)/1000/1000000)*28</f>
        <v>1.0436042215646961</v>
      </c>
      <c r="N38" s="130">
        <f>(('Dairy Enteric Inventory'!D38*'Dairy Enteric Inventory'!J38)/1000/1000000)*28</f>
        <v>9.3995792800000005E-2</v>
      </c>
      <c r="O38" s="130">
        <f>(('Dairy Enteric Inventory'!E38*'Dairy Enteric Inventory'!K38)/1000/1000000)*28</f>
        <v>3.7210815600000002E-2</v>
      </c>
      <c r="P38" s="130">
        <f>(('Dairy Enteric Inventory'!F38*'Dairy Enteric Inventory'!L38)/1000/1000000)*28</f>
        <v>0.16216000416000004</v>
      </c>
      <c r="Q38" s="43">
        <f t="shared" si="4"/>
        <v>1.336970834124696</v>
      </c>
    </row>
    <row r="39" spans="1:17" ht="15.75" customHeight="1">
      <c r="A39" s="110" t="s">
        <v>70</v>
      </c>
      <c r="B39" s="45" t="s">
        <v>147</v>
      </c>
      <c r="C39" s="131">
        <f>VLOOKUP(A39,'Dairy Animal Numbers, Mass, Mil'!$B$4:$H$51,2,FALSE)</f>
        <v>41000</v>
      </c>
      <c r="D39" s="125">
        <f>VLOOKUP($A39,'Dairy Animal Numbers, Mass, Mil'!$B$4:$F$52,3,FALSE)</f>
        <v>21000</v>
      </c>
      <c r="E39" s="125">
        <f>VLOOKUP($A39,'Dairy Animal Numbers, Mass, Mil'!$B$4:$F$52,4,FALSE)</f>
        <v>6000</v>
      </c>
      <c r="F39" s="125">
        <f>VLOOKUP($A39,'Dairy Animal Numbers, Mass, Mil'!$B$4:$F$52,5,FALSE)</f>
        <v>14000</v>
      </c>
      <c r="G39" s="126">
        <f>VLOOKUP(A39,'iFeeder TMR rations'!$T$3:$Y$50,5,FALSE)</f>
        <v>38.683704214091023</v>
      </c>
      <c r="H39" s="127">
        <v>23</v>
      </c>
      <c r="I39" s="128">
        <f t="shared" si="0"/>
        <v>147.5852487380281</v>
      </c>
      <c r="J39" s="129">
        <f t="shared" si="1"/>
        <v>25.82302</v>
      </c>
      <c r="K39" s="129">
        <f t="shared" si="2"/>
        <v>37.970219999999998</v>
      </c>
      <c r="L39" s="129">
        <f t="shared" si="3"/>
        <v>68.945580000000007</v>
      </c>
      <c r="M39" s="130">
        <f>(('Dairy Enteric Inventory'!C39*'Dairy Enteric Inventory'!I39)/1000/1000000)*28</f>
        <v>0.16942786555125627</v>
      </c>
      <c r="N39" s="130">
        <f>(('Dairy Enteric Inventory'!D39*'Dairy Enteric Inventory'!J39)/1000/1000000)*28</f>
        <v>1.5183935760000003E-2</v>
      </c>
      <c r="O39" s="130">
        <f>(('Dairy Enteric Inventory'!E39*'Dairy Enteric Inventory'!K39)/1000/1000000)*28</f>
        <v>6.3789969599999993E-3</v>
      </c>
      <c r="P39" s="130">
        <f>(('Dairy Enteric Inventory'!F39*'Dairy Enteric Inventory'!L39)/1000/1000000)*28</f>
        <v>2.7026667360000003E-2</v>
      </c>
      <c r="Q39" s="43">
        <f t="shared" si="4"/>
        <v>0.21801746563125626</v>
      </c>
    </row>
    <row r="40" spans="1:17" ht="15.75" customHeight="1">
      <c r="A40" s="110" t="s">
        <v>71</v>
      </c>
      <c r="B40" s="45" t="s">
        <v>147</v>
      </c>
      <c r="C40" s="131">
        <f>VLOOKUP(A40,'Dairy Animal Numbers, Mass, Mil'!$B$4:$H$51,2,FALSE)</f>
        <v>127000</v>
      </c>
      <c r="D40" s="125">
        <f>VLOOKUP($A40,'Dairy Animal Numbers, Mass, Mil'!$B$4:$F$52,3,FALSE)</f>
        <v>66000</v>
      </c>
      <c r="E40" s="125">
        <f>VLOOKUP($A40,'Dairy Animal Numbers, Mass, Mil'!$B$4:$F$52,4,FALSE)</f>
        <v>20000</v>
      </c>
      <c r="F40" s="125">
        <f>VLOOKUP($A40,'Dairy Animal Numbers, Mass, Mil'!$B$4:$F$52,5,FALSE)</f>
        <v>49000</v>
      </c>
      <c r="G40" s="126">
        <f>VLOOKUP(A40,'iFeeder TMR rations'!$T$3:$Y$50,5,FALSE)</f>
        <v>38.523291206153438</v>
      </c>
      <c r="H40" s="127">
        <v>23</v>
      </c>
      <c r="I40" s="128">
        <f t="shared" si="0"/>
        <v>147.43477331593223</v>
      </c>
      <c r="J40" s="129">
        <f t="shared" si="1"/>
        <v>25.82302</v>
      </c>
      <c r="K40" s="129">
        <f t="shared" si="2"/>
        <v>37.970219999999998</v>
      </c>
      <c r="L40" s="129">
        <f t="shared" si="3"/>
        <v>68.945580000000007</v>
      </c>
      <c r="M40" s="130">
        <f>(('Dairy Enteric Inventory'!C40*'Dairy Enteric Inventory'!I40)/1000/1000000)*28</f>
        <v>0.52427805391145499</v>
      </c>
      <c r="N40" s="130">
        <f>(('Dairy Enteric Inventory'!D40*'Dairy Enteric Inventory'!J40)/1000/1000000)*28</f>
        <v>4.7720940960000006E-2</v>
      </c>
      <c r="O40" s="130">
        <f>(('Dairy Enteric Inventory'!E40*'Dairy Enteric Inventory'!K40)/1000/1000000)*28</f>
        <v>2.1263323199999996E-2</v>
      </c>
      <c r="P40" s="130">
        <f>(('Dairy Enteric Inventory'!F40*'Dairy Enteric Inventory'!L40)/1000/1000000)*28</f>
        <v>9.4593335760000008E-2</v>
      </c>
      <c r="Q40" s="43">
        <f t="shared" si="4"/>
        <v>0.68785565383145508</v>
      </c>
    </row>
    <row r="41" spans="1:17" ht="15.75" customHeight="1">
      <c r="A41" s="110" t="s">
        <v>72</v>
      </c>
      <c r="B41" s="45" t="s">
        <v>147</v>
      </c>
      <c r="C41" s="131">
        <f>VLOOKUP(A41,'Dairy Animal Numbers, Mass, Mil'!$B$4:$H$51,2,FALSE)</f>
        <v>480000</v>
      </c>
      <c r="D41" s="125">
        <f>VLOOKUP($A41,'Dairy Animal Numbers, Mass, Mil'!$B$4:$F$52,3,FALSE)</f>
        <v>248000</v>
      </c>
      <c r="E41" s="125">
        <f>VLOOKUP($A41,'Dairy Animal Numbers, Mass, Mil'!$B$4:$F$52,4,FALSE)</f>
        <v>80000</v>
      </c>
      <c r="F41" s="125">
        <f>VLOOKUP($A41,'Dairy Animal Numbers, Mass, Mil'!$B$4:$F$52,5,FALSE)</f>
        <v>192000</v>
      </c>
      <c r="G41" s="126">
        <f>VLOOKUP(A41,'iFeeder TMR rations'!$T$3:$Y$50,5,FALSE)</f>
        <v>36.622500702978748</v>
      </c>
      <c r="H41" s="127">
        <v>23</v>
      </c>
      <c r="I41" s="128">
        <f t="shared" si="0"/>
        <v>145.65173678442923</v>
      </c>
      <c r="J41" s="129">
        <f t="shared" si="1"/>
        <v>25.82302</v>
      </c>
      <c r="K41" s="129">
        <f t="shared" si="2"/>
        <v>37.970219999999998</v>
      </c>
      <c r="L41" s="129">
        <f t="shared" si="3"/>
        <v>68.945580000000007</v>
      </c>
      <c r="M41" s="130">
        <f>(('Dairy Enteric Inventory'!C41*'Dairy Enteric Inventory'!I41)/1000/1000000)*28</f>
        <v>1.9575593423827287</v>
      </c>
      <c r="N41" s="130">
        <f>(('Dairy Enteric Inventory'!D41*'Dairy Enteric Inventory'!J41)/1000/1000000)*28</f>
        <v>0.17931505087999999</v>
      </c>
      <c r="O41" s="130">
        <f>(('Dairy Enteric Inventory'!E41*'Dairy Enteric Inventory'!K41)/1000/1000000)*28</f>
        <v>8.5053292799999985E-2</v>
      </c>
      <c r="P41" s="130">
        <f>(('Dairy Enteric Inventory'!F41*'Dairy Enteric Inventory'!L41)/1000/1000000)*28</f>
        <v>0.37065143808000001</v>
      </c>
      <c r="Q41" s="43">
        <f t="shared" si="4"/>
        <v>2.5925791241427287</v>
      </c>
    </row>
    <row r="42" spans="1:17" ht="15.75" customHeight="1">
      <c r="A42" s="110" t="s">
        <v>73</v>
      </c>
      <c r="B42" s="45" t="s">
        <v>147</v>
      </c>
      <c r="C42" s="45">
        <f>VLOOKUP(A42,'Dairy Animal Numbers, Mass, Mil'!$B$4:$H$51,2,FALSE)</f>
        <v>500</v>
      </c>
      <c r="D42" s="125">
        <f>VLOOKUP($A42,'Dairy Animal Numbers, Mass, Mil'!$B$4:$F$52,3,FALSE)</f>
        <v>0</v>
      </c>
      <c r="E42" s="125">
        <f>VLOOKUP($A42,'Dairy Animal Numbers, Mass, Mil'!$B$4:$F$52,4,FALSE)</f>
        <v>0</v>
      </c>
      <c r="F42" s="125">
        <f>VLOOKUP($A42,'Dairy Animal Numbers, Mass, Mil'!$B$4:$F$52,5,FALSE)</f>
        <v>0</v>
      </c>
      <c r="G42" s="126">
        <f>VLOOKUP(A42,'iFeeder TMR rations'!$T$3:$Y$50,5,FALSE)</f>
        <v>40.824765430522753</v>
      </c>
      <c r="H42" s="127">
        <v>23</v>
      </c>
      <c r="I42" s="128">
        <f t="shared" si="0"/>
        <v>149.5936712121019</v>
      </c>
      <c r="J42" s="129">
        <f t="shared" si="1"/>
        <v>25.82302</v>
      </c>
      <c r="K42" s="129">
        <f t="shared" si="2"/>
        <v>37.970219999999998</v>
      </c>
      <c r="L42" s="129">
        <f t="shared" si="3"/>
        <v>68.945580000000007</v>
      </c>
      <c r="M42" s="130">
        <f>(('Dairy Enteric Inventory'!C42*'Dairy Enteric Inventory'!I42)/1000/1000000)*28</f>
        <v>2.0943113969694267E-3</v>
      </c>
      <c r="N42" s="130">
        <f>(('Dairy Enteric Inventory'!D42*'Dairy Enteric Inventory'!J42)/1000/1000000)*28</f>
        <v>0</v>
      </c>
      <c r="O42" s="130">
        <f>(('Dairy Enteric Inventory'!E42*'Dairy Enteric Inventory'!K42)/1000/1000000)*28</f>
        <v>0</v>
      </c>
      <c r="P42" s="130">
        <f>(('Dairy Enteric Inventory'!F42*'Dairy Enteric Inventory'!L42)/1000/1000000)*28</f>
        <v>0</v>
      </c>
      <c r="Q42" s="43">
        <f t="shared" si="4"/>
        <v>2.0943113969694267E-3</v>
      </c>
    </row>
    <row r="43" spans="1:17" ht="15.75" customHeight="1">
      <c r="A43" s="110" t="s">
        <v>74</v>
      </c>
      <c r="B43" s="45" t="s">
        <v>147</v>
      </c>
      <c r="C43" s="45">
        <v>11000</v>
      </c>
      <c r="D43" s="125">
        <f>VLOOKUP($A43,'Dairy Animal Numbers, Mass, Mil'!$B$4:$F$52,3,FALSE)</f>
        <v>6000</v>
      </c>
      <c r="E43" s="125">
        <f>VLOOKUP($A43,'Dairy Animal Numbers, Mass, Mil'!$B$4:$F$52,4,FALSE)</f>
        <v>1000</v>
      </c>
      <c r="F43" s="125">
        <f>VLOOKUP($A43,'Dairy Animal Numbers, Mass, Mil'!$B$4:$F$52,5,FALSE)</f>
        <v>3000</v>
      </c>
      <c r="G43" s="126">
        <f>VLOOKUP(A43,'iFeeder TMR rations'!$T$3:$Y$50,5,FALSE)</f>
        <v>40.142542712956775</v>
      </c>
      <c r="H43" s="127">
        <v>23</v>
      </c>
      <c r="I43" s="128">
        <f t="shared" si="0"/>
        <v>148.95371219188911</v>
      </c>
      <c r="J43" s="129">
        <f t="shared" si="1"/>
        <v>25.82302</v>
      </c>
      <c r="K43" s="129">
        <f t="shared" si="2"/>
        <v>37.970219999999998</v>
      </c>
      <c r="L43" s="129">
        <f t="shared" si="3"/>
        <v>68.945580000000007</v>
      </c>
      <c r="M43" s="130">
        <f>(('Dairy Enteric Inventory'!C43*'Dairy Enteric Inventory'!I43)/1000/1000000)*28</f>
        <v>4.5877743355101842E-2</v>
      </c>
      <c r="N43" s="130">
        <f>(('Dairy Enteric Inventory'!D43*'Dairy Enteric Inventory'!J43)/1000/1000000)*28</f>
        <v>4.3382673600000001E-3</v>
      </c>
      <c r="O43" s="130">
        <f>(('Dairy Enteric Inventory'!E43*'Dairy Enteric Inventory'!K43)/1000/1000000)*28</f>
        <v>1.0631661599999999E-3</v>
      </c>
      <c r="P43" s="130">
        <f>(('Dairy Enteric Inventory'!F43*'Dairy Enteric Inventory'!L43)/1000/1000000)*28</f>
        <v>5.7914287200000001E-3</v>
      </c>
      <c r="Q43" s="43">
        <f t="shared" si="4"/>
        <v>5.7070605595101839E-2</v>
      </c>
    </row>
    <row r="44" spans="1:17" ht="15.75" customHeight="1">
      <c r="A44" s="110" t="s">
        <v>75</v>
      </c>
      <c r="B44" s="45" t="s">
        <v>147</v>
      </c>
      <c r="C44" s="45">
        <v>127000</v>
      </c>
      <c r="D44" s="125">
        <f>VLOOKUP($A44,'Dairy Animal Numbers, Mass, Mil'!$B$4:$F$52,3,FALSE)</f>
        <v>66000</v>
      </c>
      <c r="E44" s="125">
        <f>VLOOKUP($A44,'Dairy Animal Numbers, Mass, Mil'!$B$4:$F$52,4,FALSE)</f>
        <v>13000</v>
      </c>
      <c r="F44" s="125">
        <f>VLOOKUP($A44,'Dairy Animal Numbers, Mass, Mil'!$B$4:$F$52,5,FALSE)</f>
        <v>31000</v>
      </c>
      <c r="G44" s="126">
        <f>VLOOKUP(A44,'iFeeder TMR rations'!$T$3:$Y$50,5,FALSE)</f>
        <v>38.291120029322158</v>
      </c>
      <c r="H44" s="127">
        <v>23</v>
      </c>
      <c r="I44" s="128">
        <f t="shared" si="0"/>
        <v>147.21698514350564</v>
      </c>
      <c r="J44" s="129">
        <f t="shared" si="1"/>
        <v>25.82302</v>
      </c>
      <c r="K44" s="129">
        <f t="shared" si="2"/>
        <v>37.970219999999998</v>
      </c>
      <c r="L44" s="129">
        <f t="shared" si="3"/>
        <v>68.945580000000007</v>
      </c>
      <c r="M44" s="130">
        <f>(('Dairy Enteric Inventory'!C44*'Dairy Enteric Inventory'!I44)/1000/1000000)*28</f>
        <v>0.5235035991703062</v>
      </c>
      <c r="N44" s="130">
        <f>(('Dairy Enteric Inventory'!D44*'Dairy Enteric Inventory'!J44)/1000/1000000)*28</f>
        <v>4.7720940960000006E-2</v>
      </c>
      <c r="O44" s="130">
        <f>(('Dairy Enteric Inventory'!E44*'Dairy Enteric Inventory'!K44)/1000/1000000)*28</f>
        <v>1.3821160079999999E-2</v>
      </c>
      <c r="P44" s="130">
        <f>(('Dairy Enteric Inventory'!F44*'Dairy Enteric Inventory'!L44)/1000/1000000)*28</f>
        <v>5.9844763440000004E-2</v>
      </c>
      <c r="Q44" s="43">
        <f t="shared" si="4"/>
        <v>0.64489046365030622</v>
      </c>
    </row>
    <row r="45" spans="1:17" ht="15.75" customHeight="1">
      <c r="A45" s="110" t="s">
        <v>76</v>
      </c>
      <c r="B45" s="45" t="s">
        <v>147</v>
      </c>
      <c r="C45" s="131">
        <f>VLOOKUP(A45,'Dairy Animal Numbers, Mass, Mil'!$B$4:$H$51,2,FALSE)</f>
        <v>31000</v>
      </c>
      <c r="D45" s="125">
        <f>VLOOKUP($A45,'Dairy Animal Numbers, Mass, Mil'!$B$4:$F$52,3,FALSE)</f>
        <v>16000</v>
      </c>
      <c r="E45" s="125">
        <f>VLOOKUP($A45,'Dairy Animal Numbers, Mass, Mil'!$B$4:$F$52,4,FALSE)</f>
        <v>7000</v>
      </c>
      <c r="F45" s="125">
        <f>VLOOKUP($A45,'Dairy Animal Numbers, Mass, Mil'!$B$4:$F$52,5,FALSE)</f>
        <v>17000</v>
      </c>
      <c r="G45" s="126">
        <f>VLOOKUP(A45,'iFeeder TMR rations'!$T$3:$Y$50,5,FALSE)</f>
        <v>37.306149488062793</v>
      </c>
      <c r="H45" s="127">
        <v>23</v>
      </c>
      <c r="I45" s="128">
        <f t="shared" si="0"/>
        <v>146.29303352727732</v>
      </c>
      <c r="J45" s="129">
        <f t="shared" si="1"/>
        <v>25.82302</v>
      </c>
      <c r="K45" s="129">
        <f t="shared" si="2"/>
        <v>37.970219999999998</v>
      </c>
      <c r="L45" s="129">
        <f t="shared" si="3"/>
        <v>68.945580000000007</v>
      </c>
      <c r="M45" s="130">
        <f>(('Dairy Enteric Inventory'!C45*'Dairy Enteric Inventory'!I45)/1000/1000000)*28</f>
        <v>0.12698235310167669</v>
      </c>
      <c r="N45" s="130">
        <f>(('Dairy Enteric Inventory'!D45*'Dairy Enteric Inventory'!J45)/1000/1000000)*28</f>
        <v>1.1568712960000001E-2</v>
      </c>
      <c r="O45" s="130">
        <f>(('Dairy Enteric Inventory'!E45*'Dairy Enteric Inventory'!K45)/1000/1000000)*28</f>
        <v>7.4421631199999994E-3</v>
      </c>
      <c r="P45" s="130">
        <f>(('Dairy Enteric Inventory'!F45*'Dairy Enteric Inventory'!L45)/1000/1000000)*28</f>
        <v>3.2818096080000005E-2</v>
      </c>
      <c r="Q45" s="43">
        <f t="shared" si="4"/>
        <v>0.1788113252616767</v>
      </c>
    </row>
    <row r="46" spans="1:17" ht="15.75" customHeight="1">
      <c r="A46" s="110" t="s">
        <v>77</v>
      </c>
      <c r="B46" s="45" t="s">
        <v>147</v>
      </c>
      <c r="C46" s="131">
        <f>VLOOKUP(A46,'Dairy Animal Numbers, Mass, Mil'!$B$4:$H$51,2,FALSE)</f>
        <v>580000</v>
      </c>
      <c r="D46" s="125">
        <f>VLOOKUP($A46,'Dairy Animal Numbers, Mass, Mil'!$B$4:$F$52,3,FALSE)</f>
        <v>300000</v>
      </c>
      <c r="E46" s="125">
        <f>VLOOKUP($A46,'Dairy Animal Numbers, Mass, Mil'!$B$4:$F$52,4,FALSE)</f>
        <v>82000</v>
      </c>
      <c r="F46" s="125">
        <f>VLOOKUP($A46,'Dairy Animal Numbers, Mass, Mil'!$B$4:$F$52,5,FALSE)</f>
        <v>196000</v>
      </c>
      <c r="G46" s="126">
        <f>VLOOKUP(A46,'iFeeder TMR rations'!$T$3:$Y$50,5,FALSE)</f>
        <v>38.665042588083686</v>
      </c>
      <c r="H46" s="127">
        <v>23</v>
      </c>
      <c r="I46" s="128">
        <f t="shared" si="0"/>
        <v>147.5677431997519</v>
      </c>
      <c r="J46" s="129">
        <f t="shared" si="1"/>
        <v>25.82302</v>
      </c>
      <c r="K46" s="129">
        <f t="shared" si="2"/>
        <v>37.970219999999998</v>
      </c>
      <c r="L46" s="129">
        <f t="shared" si="3"/>
        <v>68.945580000000007</v>
      </c>
      <c r="M46" s="130">
        <f>(('Dairy Enteric Inventory'!C46*'Dairy Enteric Inventory'!I46)/1000/1000000)*28</f>
        <v>2.3965001495639711</v>
      </c>
      <c r="N46" s="130">
        <f>(('Dairy Enteric Inventory'!D46*'Dairy Enteric Inventory'!J46)/1000/1000000)*28</f>
        <v>0.216913368</v>
      </c>
      <c r="O46" s="130">
        <f>(('Dairy Enteric Inventory'!E46*'Dairy Enteric Inventory'!K46)/1000/1000000)*28</f>
        <v>8.7179625120000007E-2</v>
      </c>
      <c r="P46" s="130">
        <f>(('Dairy Enteric Inventory'!F46*'Dairy Enteric Inventory'!L46)/1000/1000000)*28</f>
        <v>0.37837334304000003</v>
      </c>
      <c r="Q46" s="43">
        <f t="shared" si="4"/>
        <v>3.0789664857239716</v>
      </c>
    </row>
    <row r="47" spans="1:17" ht="15.75" customHeight="1">
      <c r="A47" s="110" t="s">
        <v>78</v>
      </c>
      <c r="B47" s="45" t="s">
        <v>147</v>
      </c>
      <c r="C47" s="45">
        <v>97000</v>
      </c>
      <c r="D47" s="125">
        <f>VLOOKUP($A47,'Dairy Animal Numbers, Mass, Mil'!$B$4:$F$52,3,FALSE)</f>
        <v>50000</v>
      </c>
      <c r="E47" s="125">
        <f>VLOOKUP($A47,'Dairy Animal Numbers, Mass, Mil'!$B$4:$F$52,4,FALSE)</f>
        <v>15000</v>
      </c>
      <c r="F47" s="125">
        <f>VLOOKUP($A47,'Dairy Animal Numbers, Mass, Mil'!$B$4:$F$52,5,FALSE)</f>
        <v>35000</v>
      </c>
      <c r="G47" s="126">
        <f>VLOOKUP(A47,'iFeeder TMR rations'!$T$3:$Y$50,5,FALSE)</f>
        <v>38.280418326890043</v>
      </c>
      <c r="H47" s="127">
        <v>23</v>
      </c>
      <c r="I47" s="128">
        <f t="shared" si="0"/>
        <v>147.20694641153923</v>
      </c>
      <c r="J47" s="129">
        <f t="shared" si="1"/>
        <v>25.82302</v>
      </c>
      <c r="K47" s="129">
        <f t="shared" si="2"/>
        <v>37.970219999999998</v>
      </c>
      <c r="L47" s="129">
        <f t="shared" si="3"/>
        <v>68.945580000000007</v>
      </c>
      <c r="M47" s="130">
        <f>(('Dairy Enteric Inventory'!C47*'Dairy Enteric Inventory'!I47)/1000/1000000)*28</f>
        <v>0.39981406645374051</v>
      </c>
      <c r="N47" s="130">
        <f>(('Dairy Enteric Inventory'!D47*'Dairy Enteric Inventory'!J47)/1000/1000000)*28</f>
        <v>3.6152228000000002E-2</v>
      </c>
      <c r="O47" s="130">
        <f>(('Dairy Enteric Inventory'!E47*'Dairy Enteric Inventory'!K47)/1000/1000000)*28</f>
        <v>1.5947492399999996E-2</v>
      </c>
      <c r="P47" s="130">
        <f>(('Dairy Enteric Inventory'!F47*'Dairy Enteric Inventory'!L47)/1000/1000000)*28</f>
        <v>6.7566668400000016E-2</v>
      </c>
      <c r="Q47" s="43">
        <f t="shared" si="4"/>
        <v>0.51948045525374054</v>
      </c>
    </row>
    <row r="48" spans="1:17" ht="15.75" customHeight="1">
      <c r="A48" s="110" t="s">
        <v>79</v>
      </c>
      <c r="B48" s="45" t="s">
        <v>147</v>
      </c>
      <c r="C48" s="131">
        <f>VLOOKUP(A48,'Dairy Animal Numbers, Mass, Mil'!$B$4:$H$51,2,FALSE)</f>
        <v>74000</v>
      </c>
      <c r="D48" s="125">
        <f>VLOOKUP($A48,'Dairy Animal Numbers, Mass, Mil'!$B$4:$F$52,3,FALSE)</f>
        <v>38000</v>
      </c>
      <c r="E48" s="125">
        <f>VLOOKUP($A48,'Dairy Animal Numbers, Mass, Mil'!$B$4:$F$52,4,FALSE)</f>
        <v>10000</v>
      </c>
      <c r="F48" s="125">
        <f>VLOOKUP($A48,'Dairy Animal Numbers, Mass, Mil'!$B$4:$F$52,5,FALSE)</f>
        <v>23000</v>
      </c>
      <c r="G48" s="126">
        <f>VLOOKUP(A48,'iFeeder TMR rations'!$T$3:$Y$50,5,FALSE)</f>
        <v>37.175535528041607</v>
      </c>
      <c r="H48" s="127">
        <v>23</v>
      </c>
      <c r="I48" s="128">
        <f t="shared" si="0"/>
        <v>146.17051110207944</v>
      </c>
      <c r="J48" s="129">
        <f t="shared" si="1"/>
        <v>25.82302</v>
      </c>
      <c r="K48" s="129">
        <f t="shared" si="2"/>
        <v>37.970219999999998</v>
      </c>
      <c r="L48" s="129">
        <f t="shared" si="3"/>
        <v>68.945580000000007</v>
      </c>
      <c r="M48" s="130">
        <f>(('Dairy Enteric Inventory'!C48*'Dairy Enteric Inventory'!I48)/1000/1000000)*28</f>
        <v>0.30286529900350856</v>
      </c>
      <c r="N48" s="130">
        <f>(('Dairy Enteric Inventory'!D48*'Dairy Enteric Inventory'!J48)/1000/1000000)*28</f>
        <v>2.7475693280000001E-2</v>
      </c>
      <c r="O48" s="130">
        <f>(('Dairy Enteric Inventory'!E48*'Dairy Enteric Inventory'!K48)/1000/1000000)*28</f>
        <v>1.0631661599999998E-2</v>
      </c>
      <c r="P48" s="130">
        <f>(('Dairy Enteric Inventory'!F48*'Dairy Enteric Inventory'!L48)/1000/1000000)*28</f>
        <v>4.4400953520000001E-2</v>
      </c>
      <c r="Q48" s="43">
        <f t="shared" si="4"/>
        <v>0.38537360740350857</v>
      </c>
    </row>
    <row r="49" spans="1:17" ht="15.75" customHeight="1">
      <c r="A49" s="110" t="s">
        <v>80</v>
      </c>
      <c r="B49" s="45" t="s">
        <v>147</v>
      </c>
      <c r="C49" s="131">
        <f>VLOOKUP(A49,'Dairy Animal Numbers, Mass, Mil'!$B$4:$H$51,2,FALSE)</f>
        <v>124000</v>
      </c>
      <c r="D49" s="125">
        <f>VLOOKUP($A49,'Dairy Animal Numbers, Mass, Mil'!$B$4:$F$52,3,FALSE)</f>
        <v>64000</v>
      </c>
      <c r="E49" s="125">
        <f>VLOOKUP($A49,'Dairy Animal Numbers, Mass, Mil'!$B$4:$F$52,4,FALSE)</f>
        <v>16000</v>
      </c>
      <c r="F49" s="125">
        <f>VLOOKUP($A49,'Dairy Animal Numbers, Mass, Mil'!$B$4:$F$52,5,FALSE)</f>
        <v>38000</v>
      </c>
      <c r="G49" s="126">
        <f>VLOOKUP(A49,'iFeeder TMR rations'!$T$3:$Y$50,5,FALSE)</f>
        <v>40.593304194873596</v>
      </c>
      <c r="H49" s="127">
        <v>23</v>
      </c>
      <c r="I49" s="128">
        <f t="shared" si="0"/>
        <v>149.37654900000118</v>
      </c>
      <c r="J49" s="129">
        <f t="shared" si="1"/>
        <v>25.82302</v>
      </c>
      <c r="K49" s="129">
        <f t="shared" si="2"/>
        <v>37.970219999999998</v>
      </c>
      <c r="L49" s="129">
        <f t="shared" si="3"/>
        <v>68.945580000000007</v>
      </c>
      <c r="M49" s="130">
        <f>(('Dairy Enteric Inventory'!C49*'Dairy Enteric Inventory'!I49)/1000/1000000)*28</f>
        <v>0.51863537812800398</v>
      </c>
      <c r="N49" s="130">
        <f>(('Dairy Enteric Inventory'!D49*'Dairy Enteric Inventory'!J49)/1000/1000000)*28</f>
        <v>4.6274851840000006E-2</v>
      </c>
      <c r="O49" s="130">
        <f>(('Dairy Enteric Inventory'!E49*'Dairy Enteric Inventory'!K49)/1000/1000000)*28</f>
        <v>1.7010658559999999E-2</v>
      </c>
      <c r="P49" s="130">
        <f>(('Dairy Enteric Inventory'!F49*'Dairy Enteric Inventory'!L49)/1000/1000000)*28</f>
        <v>7.3358097119999993E-2</v>
      </c>
      <c r="Q49" s="43">
        <f t="shared" si="4"/>
        <v>0.65527898564800391</v>
      </c>
    </row>
    <row r="50" spans="1:17" ht="15.75" customHeight="1">
      <c r="A50" s="110" t="s">
        <v>81</v>
      </c>
      <c r="B50" s="45" t="s">
        <v>147</v>
      </c>
      <c r="C50" s="131">
        <f>VLOOKUP(A50,'Dairy Animal Numbers, Mass, Mil'!$B$4:$H$51,2,FALSE)</f>
        <v>282000</v>
      </c>
      <c r="D50" s="125">
        <f>VLOOKUP($A50,'Dairy Animal Numbers, Mass, Mil'!$B$4:$F$52,3,FALSE)</f>
        <v>146000</v>
      </c>
      <c r="E50" s="125">
        <f>VLOOKUP($A50,'Dairy Animal Numbers, Mass, Mil'!$B$4:$F$52,4,FALSE)</f>
        <v>37000</v>
      </c>
      <c r="F50" s="125">
        <f>VLOOKUP($A50,'Dairy Animal Numbers, Mass, Mil'!$B$4:$F$52,5,FALSE)</f>
        <v>89000</v>
      </c>
      <c r="G50" s="126">
        <f>VLOOKUP(A50,'iFeeder TMR rations'!$T$3:$Y$50,5,FALSE)</f>
        <v>39.045632637553432</v>
      </c>
      <c r="H50" s="127">
        <v>23</v>
      </c>
      <c r="I50" s="128">
        <f t="shared" si="0"/>
        <v>147.92475569565701</v>
      </c>
      <c r="J50" s="129">
        <f t="shared" si="1"/>
        <v>25.82302</v>
      </c>
      <c r="K50" s="129">
        <f t="shared" si="2"/>
        <v>37.970219999999998</v>
      </c>
      <c r="L50" s="129">
        <f t="shared" si="3"/>
        <v>68.945580000000007</v>
      </c>
      <c r="M50" s="130">
        <f>(('Dairy Enteric Inventory'!C50*'Dairy Enteric Inventory'!I50)/1000/1000000)*28</f>
        <v>1.168013870972908</v>
      </c>
      <c r="N50" s="130">
        <f>(('Dairy Enteric Inventory'!D50*'Dairy Enteric Inventory'!J50)/1000/1000000)*28</f>
        <v>0.10556450575999998</v>
      </c>
      <c r="O50" s="130">
        <f>(('Dairy Enteric Inventory'!E50*'Dairy Enteric Inventory'!K50)/1000/1000000)*28</f>
        <v>3.9337147919999996E-2</v>
      </c>
      <c r="P50" s="130">
        <f>(('Dairy Enteric Inventory'!F50*'Dairy Enteric Inventory'!L50)/1000/1000000)*28</f>
        <v>0.17181238536000001</v>
      </c>
      <c r="Q50" s="43">
        <f t="shared" si="4"/>
        <v>1.484727910012908</v>
      </c>
    </row>
    <row r="51" spans="1:17" ht="15.75" customHeight="1">
      <c r="A51" s="110" t="s">
        <v>82</v>
      </c>
      <c r="B51" s="45" t="s">
        <v>147</v>
      </c>
      <c r="C51" s="131">
        <f>VLOOKUP(A51,'Dairy Animal Numbers, Mass, Mil'!$B$4:$H$51,2,FALSE)</f>
        <v>1260000</v>
      </c>
      <c r="D51" s="125">
        <f>VLOOKUP($A51,'Dairy Animal Numbers, Mass, Mil'!$B$4:$F$52,3,FALSE)</f>
        <v>651000</v>
      </c>
      <c r="E51" s="125">
        <f>VLOOKUP($A51,'Dairy Animal Numbers, Mass, Mil'!$B$4:$F$52,4,FALSE)</f>
        <v>201000</v>
      </c>
      <c r="F51" s="125">
        <f>VLOOKUP($A51,'Dairy Animal Numbers, Mass, Mil'!$B$4:$F$52,5,FALSE)</f>
        <v>482000</v>
      </c>
      <c r="G51" s="126">
        <f>VLOOKUP(A51,'iFeeder TMR rations'!$T$3:$Y$50,5,FALSE)</f>
        <v>37.41369448671368</v>
      </c>
      <c r="H51" s="127">
        <v>23</v>
      </c>
      <c r="I51" s="128">
        <f t="shared" si="0"/>
        <v>146.39391611326175</v>
      </c>
      <c r="J51" s="129">
        <f t="shared" si="1"/>
        <v>25.82302</v>
      </c>
      <c r="K51" s="129">
        <f t="shared" si="2"/>
        <v>37.970219999999998</v>
      </c>
      <c r="L51" s="129">
        <f t="shared" si="3"/>
        <v>68.945580000000007</v>
      </c>
      <c r="M51" s="130">
        <f>(('Dairy Enteric Inventory'!C51*'Dairy Enteric Inventory'!I51)/1000/1000000)*28</f>
        <v>5.1647773604758749</v>
      </c>
      <c r="N51" s="130">
        <f>(('Dairy Enteric Inventory'!D51*'Dairy Enteric Inventory'!J51)/1000/1000000)*28</f>
        <v>0.47070200856</v>
      </c>
      <c r="O51" s="130">
        <f>(('Dairy Enteric Inventory'!E51*'Dairy Enteric Inventory'!K51)/1000/1000000)*28</f>
        <v>0.21369639816000002</v>
      </c>
      <c r="P51" s="130">
        <f>(('Dairy Enteric Inventory'!F51*'Dairy Enteric Inventory'!L51)/1000/1000000)*28</f>
        <v>0.93048954767999992</v>
      </c>
      <c r="Q51" s="43">
        <f t="shared" si="4"/>
        <v>6.7796653148758743</v>
      </c>
    </row>
    <row r="52" spans="1:17" ht="15.75" customHeight="1">
      <c r="A52" s="110" t="s">
        <v>83</v>
      </c>
      <c r="B52" s="45" t="s">
        <v>147</v>
      </c>
      <c r="C52" s="131">
        <f>VLOOKUP(A52,'Dairy Animal Numbers, Mass, Mil'!$B$4:$H$51,2,FALSE)</f>
        <v>6000</v>
      </c>
      <c r="D52" s="125">
        <f>VLOOKUP($A52,'Dairy Animal Numbers, Mass, Mil'!$B$4:$F$52,3,FALSE)</f>
        <v>3000</v>
      </c>
      <c r="E52" s="125">
        <f>VLOOKUP($A52,'Dairy Animal Numbers, Mass, Mil'!$B$4:$F$52,4,FALSE)</f>
        <v>1000</v>
      </c>
      <c r="F52" s="125">
        <f>VLOOKUP($A52,'Dairy Animal Numbers, Mass, Mil'!$B$4:$F$52,5,FALSE)</f>
        <v>2000</v>
      </c>
      <c r="G52" s="126">
        <f>VLOOKUP(A52,'iFeeder TMR rations'!$T$3:$Y$50,5,FALSE)</f>
        <v>37.165306193193246</v>
      </c>
      <c r="H52" s="127">
        <v>23</v>
      </c>
      <c r="I52" s="128">
        <f t="shared" si="0"/>
        <v>146.16091547452493</v>
      </c>
      <c r="J52" s="129">
        <f t="shared" si="1"/>
        <v>25.82302</v>
      </c>
      <c r="K52" s="129">
        <f t="shared" si="2"/>
        <v>37.970219999999998</v>
      </c>
      <c r="L52" s="129">
        <f t="shared" si="3"/>
        <v>68.945580000000007</v>
      </c>
      <c r="M52" s="130">
        <f>(('Dairy Enteric Inventory'!C52*'Dairy Enteric Inventory'!I52)/1000/1000000)*28</f>
        <v>2.4555033799720186E-2</v>
      </c>
      <c r="N52" s="130">
        <f>(('Dairy Enteric Inventory'!D52*'Dairy Enteric Inventory'!J52)/1000/1000000)*28</f>
        <v>2.1691336800000001E-3</v>
      </c>
      <c r="O52" s="130">
        <f>(('Dairy Enteric Inventory'!E52*'Dairy Enteric Inventory'!K52)/1000/1000000)*28</f>
        <v>1.0631661599999999E-3</v>
      </c>
      <c r="P52" s="130">
        <f>(('Dairy Enteric Inventory'!F52*'Dairy Enteric Inventory'!L52)/1000/1000000)*28</f>
        <v>3.8609524800000006E-3</v>
      </c>
      <c r="Q52" s="43">
        <f t="shared" si="4"/>
        <v>3.164828611972019E-2</v>
      </c>
    </row>
    <row r="53" spans="1:17" ht="15.75" customHeight="1">
      <c r="A53" s="110" t="s">
        <v>84</v>
      </c>
      <c r="B53" s="45" t="s">
        <v>147</v>
      </c>
      <c r="C53" s="131">
        <f>VLOOKUP(A53,'Dairy Animal Numbers, Mass, Mil'!$B$4:$H$51,2,FALSE)</f>
        <v>6000</v>
      </c>
      <c r="D53" s="125">
        <f>VLOOKUP($A53,'Dairy Animal Numbers, Mass, Mil'!$B$4:$F$52,3,FALSE)</f>
        <v>3000</v>
      </c>
      <c r="E53" s="125">
        <f>VLOOKUP($A53,'Dairy Animal Numbers, Mass, Mil'!$B$4:$F$52,4,FALSE)</f>
        <v>1000</v>
      </c>
      <c r="F53" s="125">
        <f>VLOOKUP($A53,'Dairy Animal Numbers, Mass, Mil'!$B$4:$F$52,5,FALSE)</f>
        <v>3000</v>
      </c>
      <c r="G53" s="126">
        <f>VLOOKUP(A53,'iFeeder TMR rations'!$T$3:$Y$50,5,FALSE)</f>
        <v>38.366113669011753</v>
      </c>
      <c r="H53" s="127">
        <v>23</v>
      </c>
      <c r="I53" s="128">
        <f t="shared" si="0"/>
        <v>147.28733292721648</v>
      </c>
      <c r="J53" s="129">
        <f t="shared" si="1"/>
        <v>25.82302</v>
      </c>
      <c r="K53" s="129">
        <f t="shared" si="2"/>
        <v>37.970219999999998</v>
      </c>
      <c r="L53" s="129">
        <f t="shared" si="3"/>
        <v>68.945580000000007</v>
      </c>
      <c r="M53" s="130">
        <f>(('Dairy Enteric Inventory'!C53*'Dairy Enteric Inventory'!I53)/1000/1000000)*28</f>
        <v>2.4744271931772369E-2</v>
      </c>
      <c r="N53" s="130">
        <f>(('Dairy Enteric Inventory'!D53*'Dairy Enteric Inventory'!J53)/1000/1000000)*28</f>
        <v>2.1691336800000001E-3</v>
      </c>
      <c r="O53" s="130">
        <f>(('Dairy Enteric Inventory'!E53*'Dairy Enteric Inventory'!K53)/1000/1000000)*28</f>
        <v>1.0631661599999999E-3</v>
      </c>
      <c r="P53" s="130">
        <f>(('Dairy Enteric Inventory'!F53*'Dairy Enteric Inventory'!L53)/1000/1000000)*28</f>
        <v>5.7914287200000001E-3</v>
      </c>
      <c r="Q53" s="43">
        <f t="shared" si="4"/>
        <v>3.3768000491772372E-2</v>
      </c>
    </row>
    <row r="54" spans="1:17" ht="15.75" customHeight="1">
      <c r="A54" s="33"/>
      <c r="B54" s="33"/>
      <c r="C54" s="33"/>
      <c r="D54" s="33"/>
      <c r="E54" s="33"/>
      <c r="F54" s="33"/>
      <c r="G54" s="33"/>
      <c r="H54" s="33"/>
      <c r="I54" s="33"/>
      <c r="J54" s="120"/>
      <c r="K54" s="33"/>
      <c r="L54" s="33"/>
      <c r="M54" s="33"/>
      <c r="N54" s="33"/>
      <c r="O54" s="33"/>
      <c r="P54" s="33"/>
      <c r="Q54" s="114"/>
    </row>
    <row r="55" spans="1:17" ht="15.75" customHeight="1">
      <c r="A55" s="33"/>
      <c r="B55" s="33"/>
      <c r="C55" s="38"/>
      <c r="D55" s="33"/>
      <c r="E55" s="33"/>
      <c r="F55" s="33"/>
      <c r="G55" s="33"/>
      <c r="H55" s="33"/>
      <c r="I55" s="128">
        <f>MAX(I6:I53)</f>
        <v>149.5936712121019</v>
      </c>
      <c r="J55" s="120"/>
      <c r="K55" s="33"/>
      <c r="L55" s="33"/>
      <c r="M55" s="33"/>
      <c r="N55" s="33"/>
      <c r="O55" s="33"/>
      <c r="P55" s="33"/>
      <c r="Q55" s="114"/>
    </row>
    <row r="56" spans="1:17" ht="15.75" customHeight="1">
      <c r="A56" s="33"/>
      <c r="B56" s="33"/>
      <c r="C56" s="39"/>
      <c r="D56" s="33"/>
      <c r="E56" s="33"/>
      <c r="F56" s="33"/>
      <c r="G56" s="33"/>
      <c r="H56" s="128"/>
      <c r="I56" s="128">
        <f>MIN(I6:I53)</f>
        <v>145.65173678442923</v>
      </c>
      <c r="J56" s="120"/>
      <c r="K56" s="33"/>
      <c r="L56" s="33"/>
      <c r="M56" s="33"/>
      <c r="N56" s="33"/>
      <c r="O56" s="33"/>
      <c r="P56" s="33"/>
      <c r="Q56" s="114"/>
    </row>
    <row r="57" spans="1:17" ht="15.75" customHeight="1">
      <c r="A57" s="33"/>
      <c r="B57" s="33"/>
      <c r="C57" s="39"/>
      <c r="D57" s="33"/>
      <c r="E57" s="33"/>
      <c r="F57" s="33"/>
      <c r="G57" s="33"/>
      <c r="H57" s="128"/>
      <c r="I57" s="128"/>
      <c r="J57" s="120"/>
      <c r="K57" s="33"/>
      <c r="L57" s="33"/>
      <c r="M57" s="33"/>
      <c r="N57" s="33"/>
      <c r="O57" s="33"/>
      <c r="P57" s="33"/>
      <c r="Q57" s="114"/>
    </row>
    <row r="58" spans="1:17" ht="15.75" customHeight="1">
      <c r="A58" s="109"/>
      <c r="B58" s="33"/>
      <c r="C58" s="39"/>
      <c r="D58" s="33"/>
      <c r="E58" s="33"/>
      <c r="F58" s="33"/>
      <c r="G58" s="33"/>
      <c r="H58" s="33"/>
      <c r="I58" s="33"/>
      <c r="J58" s="120"/>
      <c r="K58" s="33"/>
      <c r="L58" s="33"/>
      <c r="M58" s="33"/>
      <c r="N58" s="33"/>
      <c r="O58" s="33"/>
      <c r="P58" s="33"/>
      <c r="Q58" s="114"/>
    </row>
    <row r="59" spans="1:17" ht="15.75" customHeight="1">
      <c r="A59" s="109"/>
      <c r="B59" s="33"/>
      <c r="C59" s="39"/>
      <c r="D59" s="33"/>
      <c r="E59" s="33"/>
      <c r="F59" s="33"/>
      <c r="G59" s="33"/>
      <c r="H59" s="33"/>
      <c r="I59" s="33"/>
      <c r="J59" s="120"/>
      <c r="K59" s="33"/>
      <c r="L59" s="33"/>
      <c r="M59" s="33"/>
      <c r="N59" s="33"/>
      <c r="O59" s="33"/>
      <c r="P59" s="33"/>
      <c r="Q59" s="114"/>
    </row>
    <row r="60" spans="1:17" ht="15.75" customHeight="1">
      <c r="A60" s="109"/>
      <c r="B60" s="33"/>
      <c r="C60" s="39"/>
      <c r="D60" s="33"/>
      <c r="E60" s="33"/>
      <c r="F60" s="33"/>
      <c r="G60" s="33"/>
      <c r="H60" s="33"/>
      <c r="I60" s="33"/>
      <c r="J60" s="120"/>
      <c r="K60" s="33"/>
      <c r="L60" s="33"/>
      <c r="M60" s="33"/>
      <c r="N60" s="33"/>
      <c r="O60" s="33"/>
      <c r="P60" s="33"/>
      <c r="Q60" s="114"/>
    </row>
    <row r="61" spans="1:17" ht="15.75" customHeight="1">
      <c r="A61" s="109"/>
      <c r="B61" s="33"/>
      <c r="C61" s="39"/>
      <c r="D61" s="33"/>
      <c r="E61" s="33"/>
      <c r="F61" s="33"/>
      <c r="G61" s="33"/>
      <c r="H61" s="33"/>
      <c r="I61" s="33"/>
      <c r="J61" s="120"/>
      <c r="K61" s="33"/>
      <c r="L61" s="33"/>
      <c r="M61" s="33"/>
      <c r="N61" s="33"/>
      <c r="O61" s="33"/>
      <c r="P61" s="33"/>
      <c r="Q61" s="114"/>
    </row>
    <row r="62" spans="1:17" ht="15.75" customHeight="1">
      <c r="A62" s="109"/>
      <c r="B62" s="33"/>
      <c r="C62" s="39"/>
      <c r="D62" s="33"/>
      <c r="E62" s="33"/>
      <c r="F62" s="33"/>
      <c r="G62" s="33"/>
      <c r="H62" s="33"/>
      <c r="I62" s="33"/>
      <c r="J62" s="120"/>
      <c r="K62" s="33"/>
      <c r="L62" s="33"/>
      <c r="M62" s="33"/>
      <c r="N62" s="33"/>
      <c r="O62" s="33"/>
      <c r="P62" s="33"/>
      <c r="Q62" s="114"/>
    </row>
    <row r="63" spans="1:17" ht="15.75" customHeight="1">
      <c r="A63" s="109"/>
      <c r="B63" s="33"/>
      <c r="C63" s="39"/>
      <c r="D63" s="33"/>
      <c r="E63" s="33"/>
      <c r="F63" s="33"/>
      <c r="G63" s="33"/>
      <c r="H63" s="33"/>
      <c r="I63" s="33"/>
      <c r="J63" s="120"/>
      <c r="K63" s="33"/>
      <c r="L63" s="33"/>
      <c r="M63" s="33"/>
      <c r="N63" s="33"/>
      <c r="O63" s="33"/>
      <c r="P63" s="33"/>
      <c r="Q63" s="114"/>
    </row>
    <row r="64" spans="1:17" ht="15.75" customHeight="1">
      <c r="A64" s="109"/>
      <c r="B64" s="33"/>
      <c r="C64" s="39"/>
      <c r="D64" s="33"/>
      <c r="E64" s="33"/>
      <c r="F64" s="33"/>
      <c r="G64" s="33"/>
      <c r="H64" s="33"/>
      <c r="I64" s="33"/>
      <c r="J64" s="120"/>
      <c r="K64" s="33"/>
      <c r="L64" s="33"/>
      <c r="M64" s="33"/>
      <c r="N64" s="33"/>
      <c r="O64" s="33"/>
      <c r="P64" s="33"/>
      <c r="Q64" s="114"/>
    </row>
    <row r="65" spans="1:17" ht="15.75" customHeight="1">
      <c r="A65" s="109"/>
      <c r="B65" s="33"/>
      <c r="C65" s="39"/>
      <c r="D65" s="33"/>
      <c r="E65" s="33"/>
      <c r="F65" s="33"/>
      <c r="G65" s="33"/>
      <c r="H65" s="33"/>
      <c r="I65" s="33"/>
      <c r="J65" s="120"/>
      <c r="K65" s="33"/>
      <c r="L65" s="33"/>
      <c r="M65" s="33"/>
      <c r="N65" s="33"/>
      <c r="O65" s="33"/>
      <c r="P65" s="33"/>
      <c r="Q65" s="114"/>
    </row>
    <row r="66" spans="1:17" ht="15.75" customHeight="1">
      <c r="A66" s="109"/>
      <c r="B66" s="33"/>
      <c r="C66" s="39"/>
      <c r="D66" s="33"/>
      <c r="E66" s="33"/>
      <c r="F66" s="33"/>
      <c r="G66" s="33"/>
      <c r="H66" s="33"/>
      <c r="I66" s="33"/>
      <c r="J66" s="120"/>
      <c r="K66" s="33"/>
      <c r="L66" s="33"/>
      <c r="M66" s="33"/>
      <c r="N66" s="33"/>
      <c r="O66" s="33"/>
      <c r="P66" s="33"/>
      <c r="Q66" s="114"/>
    </row>
    <row r="67" spans="1:17" ht="15.75" customHeight="1">
      <c r="A67" s="109"/>
      <c r="B67" s="33"/>
      <c r="C67" s="39"/>
      <c r="D67" s="33"/>
      <c r="E67" s="33"/>
      <c r="F67" s="33"/>
      <c r="G67" s="33"/>
      <c r="H67" s="33"/>
      <c r="I67" s="33"/>
      <c r="J67" s="120"/>
      <c r="K67" s="33"/>
      <c r="L67" s="33"/>
      <c r="M67" s="33"/>
      <c r="N67" s="33"/>
      <c r="O67" s="33"/>
      <c r="P67" s="33"/>
      <c r="Q67" s="114"/>
    </row>
    <row r="68" spans="1:17" ht="15.75" customHeight="1">
      <c r="A68" s="109"/>
      <c r="B68" s="33"/>
      <c r="C68" s="39"/>
      <c r="D68" s="33"/>
      <c r="E68" s="33"/>
      <c r="F68" s="33"/>
      <c r="G68" s="33"/>
      <c r="H68" s="33"/>
      <c r="I68" s="33"/>
      <c r="J68" s="120"/>
      <c r="K68" s="33"/>
      <c r="L68" s="33"/>
      <c r="M68" s="33"/>
      <c r="N68" s="33"/>
      <c r="O68" s="33"/>
      <c r="P68" s="33"/>
      <c r="Q68" s="114"/>
    </row>
    <row r="69" spans="1:17" ht="15.75" customHeight="1">
      <c r="A69" s="109"/>
      <c r="B69" s="33"/>
      <c r="C69" s="39"/>
      <c r="D69" s="33"/>
      <c r="E69" s="33"/>
      <c r="F69" s="33"/>
      <c r="G69" s="33"/>
      <c r="H69" s="33"/>
      <c r="I69" s="33"/>
      <c r="J69" s="120"/>
      <c r="K69" s="33"/>
      <c r="L69" s="33"/>
      <c r="M69" s="33"/>
      <c r="N69" s="33"/>
      <c r="O69" s="33"/>
      <c r="P69" s="33"/>
      <c r="Q69" s="114"/>
    </row>
    <row r="70" spans="1:17" ht="15.75" customHeight="1">
      <c r="A70" s="109"/>
      <c r="B70" s="33"/>
      <c r="C70" s="39"/>
      <c r="D70" s="33"/>
      <c r="E70" s="33"/>
      <c r="F70" s="33"/>
      <c r="G70" s="33"/>
      <c r="H70" s="33"/>
      <c r="I70" s="33"/>
      <c r="J70" s="120"/>
      <c r="K70" s="33"/>
      <c r="L70" s="33"/>
      <c r="M70" s="33"/>
      <c r="N70" s="33"/>
      <c r="O70" s="33"/>
      <c r="P70" s="33"/>
      <c r="Q70" s="114"/>
    </row>
    <row r="71" spans="1:17" ht="15.75" customHeight="1">
      <c r="A71" s="109"/>
      <c r="B71" s="33"/>
      <c r="C71" s="39"/>
      <c r="D71" s="33"/>
      <c r="E71" s="33"/>
      <c r="F71" s="33"/>
      <c r="G71" s="33"/>
      <c r="H71" s="33"/>
      <c r="I71" s="33"/>
      <c r="J71" s="120"/>
      <c r="K71" s="33"/>
      <c r="L71" s="33"/>
      <c r="M71" s="33"/>
      <c r="N71" s="33"/>
      <c r="O71" s="33"/>
      <c r="P71" s="33"/>
      <c r="Q71" s="114"/>
    </row>
    <row r="72" spans="1:17" ht="15.75" customHeight="1">
      <c r="A72" s="109"/>
      <c r="B72" s="33"/>
      <c r="C72" s="39"/>
      <c r="D72" s="33"/>
      <c r="E72" s="33"/>
      <c r="F72" s="33"/>
      <c r="G72" s="33"/>
      <c r="H72" s="33"/>
      <c r="I72" s="33"/>
      <c r="J72" s="120"/>
      <c r="K72" s="33"/>
      <c r="L72" s="33"/>
      <c r="M72" s="33"/>
      <c r="N72" s="33"/>
      <c r="O72" s="33"/>
      <c r="P72" s="33"/>
      <c r="Q72" s="114"/>
    </row>
    <row r="73" spans="1:17" ht="15.75" customHeight="1">
      <c r="A73" s="109"/>
      <c r="B73" s="33"/>
      <c r="C73" s="39"/>
      <c r="D73" s="33"/>
      <c r="E73" s="33"/>
      <c r="F73" s="33"/>
      <c r="G73" s="33"/>
      <c r="H73" s="33"/>
      <c r="I73" s="33"/>
      <c r="J73" s="120"/>
      <c r="K73" s="33"/>
      <c r="L73" s="33"/>
      <c r="M73" s="33"/>
      <c r="N73" s="33"/>
      <c r="O73" s="33"/>
      <c r="P73" s="33"/>
      <c r="Q73" s="114"/>
    </row>
    <row r="74" spans="1:17" ht="15.75" customHeight="1">
      <c r="A74" s="109"/>
      <c r="B74" s="33"/>
      <c r="C74" s="39"/>
      <c r="D74" s="33"/>
      <c r="E74" s="33"/>
      <c r="F74" s="33"/>
      <c r="G74" s="33"/>
      <c r="H74" s="33"/>
      <c r="I74" s="33"/>
      <c r="J74" s="120"/>
      <c r="K74" s="33"/>
      <c r="L74" s="33"/>
      <c r="M74" s="33"/>
      <c r="N74" s="33"/>
      <c r="O74" s="33"/>
      <c r="P74" s="33"/>
      <c r="Q74" s="114"/>
    </row>
    <row r="75" spans="1:17" ht="15.75" customHeight="1">
      <c r="A75" s="109"/>
      <c r="B75" s="33"/>
      <c r="C75" s="39"/>
      <c r="D75" s="33"/>
      <c r="E75" s="33"/>
      <c r="F75" s="33"/>
      <c r="G75" s="33"/>
      <c r="H75" s="33"/>
      <c r="I75" s="33"/>
      <c r="J75" s="120"/>
      <c r="K75" s="33"/>
      <c r="L75" s="33"/>
      <c r="M75" s="33"/>
      <c r="N75" s="33"/>
      <c r="O75" s="33"/>
      <c r="P75" s="33"/>
      <c r="Q75" s="114"/>
    </row>
    <row r="76" spans="1:17" ht="15.75" customHeight="1">
      <c r="A76" s="109"/>
      <c r="B76" s="33"/>
      <c r="C76" s="39"/>
      <c r="D76" s="33"/>
      <c r="E76" s="33"/>
      <c r="F76" s="33"/>
      <c r="G76" s="33"/>
      <c r="H76" s="33"/>
      <c r="I76" s="33"/>
      <c r="J76" s="120"/>
      <c r="K76" s="33"/>
      <c r="L76" s="33"/>
      <c r="M76" s="33"/>
      <c r="N76" s="33"/>
      <c r="O76" s="33"/>
      <c r="P76" s="33"/>
      <c r="Q76" s="114"/>
    </row>
    <row r="77" spans="1:17" ht="15.75" customHeight="1">
      <c r="A77" s="109"/>
      <c r="B77" s="33"/>
      <c r="C77" s="39"/>
      <c r="D77" s="33"/>
      <c r="E77" s="33"/>
      <c r="F77" s="33"/>
      <c r="G77" s="33"/>
      <c r="H77" s="33"/>
      <c r="I77" s="33"/>
      <c r="J77" s="120"/>
      <c r="K77" s="33"/>
      <c r="L77" s="33"/>
      <c r="M77" s="33"/>
      <c r="N77" s="33"/>
      <c r="O77" s="33"/>
      <c r="P77" s="33"/>
      <c r="Q77" s="114"/>
    </row>
    <row r="78" spans="1:17" ht="15.75" customHeight="1">
      <c r="A78" s="109"/>
      <c r="B78" s="33"/>
      <c r="C78" s="39"/>
      <c r="D78" s="33"/>
      <c r="E78" s="33"/>
      <c r="F78" s="33"/>
      <c r="G78" s="33"/>
      <c r="H78" s="33"/>
      <c r="I78" s="33"/>
      <c r="J78" s="120"/>
      <c r="K78" s="33"/>
      <c r="L78" s="33"/>
      <c r="M78" s="33"/>
      <c r="N78" s="33"/>
      <c r="O78" s="33"/>
      <c r="P78" s="33"/>
      <c r="Q78" s="114"/>
    </row>
    <row r="79" spans="1:17" ht="15.75" customHeight="1">
      <c r="A79" s="109"/>
      <c r="B79" s="33"/>
      <c r="C79" s="39"/>
      <c r="D79" s="33"/>
      <c r="E79" s="33"/>
      <c r="F79" s="33"/>
      <c r="G79" s="33"/>
      <c r="H79" s="33"/>
      <c r="I79" s="33"/>
      <c r="J79" s="120"/>
      <c r="K79" s="33"/>
      <c r="L79" s="33"/>
      <c r="M79" s="33"/>
      <c r="N79" s="33"/>
      <c r="O79" s="33"/>
      <c r="P79" s="33"/>
      <c r="Q79" s="114"/>
    </row>
    <row r="80" spans="1:17" ht="15.75" customHeight="1">
      <c r="A80" s="109"/>
      <c r="B80" s="33"/>
      <c r="C80" s="39"/>
      <c r="D80" s="33"/>
      <c r="E80" s="33"/>
      <c r="F80" s="33"/>
      <c r="G80" s="33"/>
      <c r="H80" s="33"/>
      <c r="I80" s="33"/>
      <c r="J80" s="120"/>
      <c r="K80" s="33"/>
      <c r="L80" s="33"/>
      <c r="M80" s="33"/>
      <c r="N80" s="33"/>
      <c r="O80" s="33"/>
      <c r="P80" s="33"/>
      <c r="Q80" s="114"/>
    </row>
    <row r="81" spans="1:17" ht="15.75" customHeight="1">
      <c r="A81" s="109"/>
      <c r="B81" s="33"/>
      <c r="C81" s="39"/>
      <c r="D81" s="33"/>
      <c r="E81" s="33"/>
      <c r="F81" s="33"/>
      <c r="G81" s="33"/>
      <c r="H81" s="33"/>
      <c r="I81" s="33"/>
      <c r="J81" s="120"/>
      <c r="K81" s="33"/>
      <c r="L81" s="33"/>
      <c r="M81" s="33"/>
      <c r="N81" s="33"/>
      <c r="O81" s="33"/>
      <c r="P81" s="33"/>
      <c r="Q81" s="114"/>
    </row>
    <row r="82" spans="1:17" ht="15.75" customHeight="1">
      <c r="A82" s="109"/>
      <c r="B82" s="33"/>
      <c r="C82" s="39"/>
      <c r="D82" s="33"/>
      <c r="E82" s="33"/>
      <c r="F82" s="33"/>
      <c r="G82" s="33"/>
      <c r="H82" s="33"/>
      <c r="I82" s="33"/>
      <c r="J82" s="120"/>
      <c r="K82" s="33"/>
      <c r="L82" s="33"/>
      <c r="M82" s="33"/>
      <c r="N82" s="33"/>
      <c r="O82" s="33"/>
      <c r="P82" s="33"/>
      <c r="Q82" s="114"/>
    </row>
    <row r="83" spans="1:17" ht="15.75" customHeight="1">
      <c r="A83" s="109"/>
      <c r="B83" s="33"/>
      <c r="C83" s="39"/>
      <c r="D83" s="33"/>
      <c r="E83" s="33"/>
      <c r="F83" s="33"/>
      <c r="G83" s="33"/>
      <c r="H83" s="33"/>
      <c r="I83" s="33"/>
      <c r="J83" s="120"/>
      <c r="K83" s="33"/>
      <c r="L83" s="33"/>
      <c r="M83" s="33"/>
      <c r="N83" s="33"/>
      <c r="O83" s="33"/>
      <c r="P83" s="33"/>
      <c r="Q83" s="114"/>
    </row>
    <row r="84" spans="1:17" ht="15.75" customHeight="1">
      <c r="A84" s="109"/>
      <c r="B84" s="33"/>
      <c r="C84" s="39"/>
      <c r="D84" s="33"/>
      <c r="E84" s="33"/>
      <c r="F84" s="33"/>
      <c r="G84" s="33"/>
      <c r="H84" s="33"/>
      <c r="I84" s="33"/>
      <c r="J84" s="120"/>
      <c r="K84" s="33"/>
      <c r="L84" s="33"/>
      <c r="M84" s="33"/>
      <c r="N84" s="33"/>
      <c r="O84" s="33"/>
      <c r="P84" s="33"/>
      <c r="Q84" s="114"/>
    </row>
    <row r="85" spans="1:17" ht="15.75" customHeight="1">
      <c r="A85" s="109"/>
      <c r="B85" s="33"/>
      <c r="C85" s="39"/>
      <c r="D85" s="33"/>
      <c r="E85" s="33"/>
      <c r="F85" s="33"/>
      <c r="G85" s="33"/>
      <c r="H85" s="33"/>
      <c r="I85" s="33"/>
      <c r="J85" s="120"/>
      <c r="K85" s="33"/>
      <c r="L85" s="33"/>
      <c r="M85" s="33"/>
      <c r="N85" s="33"/>
      <c r="O85" s="33"/>
      <c r="P85" s="33"/>
      <c r="Q85" s="114"/>
    </row>
    <row r="86" spans="1:17" ht="15.75" customHeight="1">
      <c r="A86" s="109"/>
      <c r="B86" s="33"/>
      <c r="C86" s="39"/>
      <c r="D86" s="33"/>
      <c r="E86" s="33"/>
      <c r="F86" s="33"/>
      <c r="G86" s="33"/>
      <c r="H86" s="33"/>
      <c r="I86" s="33"/>
      <c r="J86" s="120"/>
      <c r="K86" s="33"/>
      <c r="L86" s="33"/>
      <c r="M86" s="33"/>
      <c r="N86" s="33"/>
      <c r="O86" s="33"/>
      <c r="P86" s="33"/>
      <c r="Q86" s="114"/>
    </row>
    <row r="87" spans="1:17" ht="15.75" customHeight="1">
      <c r="A87" s="109"/>
      <c r="B87" s="33"/>
      <c r="C87" s="39"/>
      <c r="D87" s="33"/>
      <c r="E87" s="33"/>
      <c r="F87" s="33"/>
      <c r="G87" s="33"/>
      <c r="H87" s="33"/>
      <c r="I87" s="33"/>
      <c r="J87" s="120"/>
      <c r="K87" s="33"/>
      <c r="L87" s="33"/>
      <c r="M87" s="33"/>
      <c r="N87" s="33"/>
      <c r="O87" s="33"/>
      <c r="P87" s="33"/>
      <c r="Q87" s="114"/>
    </row>
    <row r="88" spans="1:17" ht="15.75" customHeight="1">
      <c r="A88" s="109"/>
      <c r="B88" s="33"/>
      <c r="C88" s="39"/>
      <c r="D88" s="33"/>
      <c r="E88" s="33"/>
      <c r="F88" s="33"/>
      <c r="G88" s="33"/>
      <c r="H88" s="33"/>
      <c r="I88" s="33"/>
      <c r="J88" s="120"/>
      <c r="K88" s="33"/>
      <c r="L88" s="33"/>
      <c r="M88" s="33"/>
      <c r="N88" s="33"/>
      <c r="O88" s="33"/>
      <c r="P88" s="33"/>
      <c r="Q88" s="114"/>
    </row>
    <row r="89" spans="1:17" ht="15.75" customHeight="1">
      <c r="A89" s="109"/>
      <c r="B89" s="33"/>
      <c r="C89" s="39"/>
      <c r="D89" s="33"/>
      <c r="E89" s="33"/>
      <c r="F89" s="33"/>
      <c r="G89" s="33"/>
      <c r="H89" s="33"/>
      <c r="I89" s="33"/>
      <c r="J89" s="120"/>
      <c r="K89" s="33"/>
      <c r="L89" s="33"/>
      <c r="M89" s="33"/>
      <c r="N89" s="33"/>
      <c r="O89" s="33"/>
      <c r="P89" s="33"/>
      <c r="Q89" s="114"/>
    </row>
    <row r="90" spans="1:17" ht="15.75" customHeight="1">
      <c r="A90" s="109"/>
      <c r="B90" s="33"/>
      <c r="C90" s="39"/>
      <c r="D90" s="33"/>
      <c r="E90" s="33"/>
      <c r="F90" s="33"/>
      <c r="G90" s="33"/>
      <c r="H90" s="33"/>
      <c r="I90" s="33"/>
      <c r="J90" s="120"/>
      <c r="K90" s="33"/>
      <c r="L90" s="33"/>
      <c r="M90" s="33"/>
      <c r="N90" s="33"/>
      <c r="O90" s="33"/>
      <c r="P90" s="33"/>
      <c r="Q90" s="114"/>
    </row>
    <row r="91" spans="1:17" ht="15.75" customHeight="1">
      <c r="A91" s="109"/>
      <c r="B91" s="33"/>
      <c r="C91" s="39"/>
      <c r="D91" s="33"/>
      <c r="E91" s="33"/>
      <c r="F91" s="33"/>
      <c r="G91" s="33"/>
      <c r="H91" s="33"/>
      <c r="I91" s="33"/>
      <c r="J91" s="120"/>
      <c r="K91" s="33"/>
      <c r="L91" s="33"/>
      <c r="M91" s="33"/>
      <c r="N91" s="33"/>
      <c r="O91" s="33"/>
      <c r="P91" s="33"/>
      <c r="Q91" s="114"/>
    </row>
    <row r="92" spans="1:17" ht="15.75" customHeight="1">
      <c r="A92" s="109"/>
      <c r="B92" s="33"/>
      <c r="C92" s="39"/>
      <c r="D92" s="33"/>
      <c r="E92" s="33"/>
      <c r="F92" s="33"/>
      <c r="G92" s="33"/>
      <c r="H92" s="33"/>
      <c r="I92" s="33"/>
      <c r="J92" s="120"/>
      <c r="K92" s="33"/>
      <c r="L92" s="33"/>
      <c r="M92" s="33"/>
      <c r="N92" s="33"/>
      <c r="O92" s="33"/>
      <c r="P92" s="33"/>
      <c r="Q92" s="114"/>
    </row>
    <row r="93" spans="1:17" ht="15.75" customHeight="1">
      <c r="A93" s="109"/>
      <c r="B93" s="33"/>
      <c r="C93" s="39"/>
      <c r="D93" s="33"/>
      <c r="E93" s="33"/>
      <c r="F93" s="33"/>
      <c r="G93" s="33"/>
      <c r="H93" s="33"/>
      <c r="I93" s="33"/>
      <c r="J93" s="120"/>
      <c r="K93" s="33"/>
      <c r="L93" s="33"/>
      <c r="M93" s="33"/>
      <c r="N93" s="33"/>
      <c r="O93" s="33"/>
      <c r="P93" s="33"/>
      <c r="Q93" s="114"/>
    </row>
    <row r="94" spans="1:17" ht="15.75" customHeight="1">
      <c r="A94" s="109"/>
      <c r="B94" s="33"/>
      <c r="C94" s="39"/>
      <c r="D94" s="33"/>
      <c r="E94" s="33"/>
      <c r="F94" s="33"/>
      <c r="G94" s="33"/>
      <c r="H94" s="33"/>
      <c r="I94" s="33"/>
      <c r="J94" s="120"/>
      <c r="K94" s="33"/>
      <c r="L94" s="33"/>
      <c r="M94" s="33"/>
      <c r="N94" s="33"/>
      <c r="O94" s="33"/>
      <c r="P94" s="33"/>
      <c r="Q94" s="114"/>
    </row>
    <row r="95" spans="1:17" ht="15.75" customHeight="1">
      <c r="A95" s="109"/>
      <c r="B95" s="33"/>
      <c r="C95" s="39"/>
      <c r="D95" s="33"/>
      <c r="E95" s="33"/>
      <c r="F95" s="33"/>
      <c r="G95" s="33"/>
      <c r="H95" s="33"/>
      <c r="I95" s="33"/>
      <c r="J95" s="120"/>
      <c r="K95" s="33"/>
      <c r="L95" s="33"/>
      <c r="M95" s="33"/>
      <c r="N95" s="33"/>
      <c r="O95" s="33"/>
      <c r="P95" s="33"/>
      <c r="Q95" s="114"/>
    </row>
    <row r="96" spans="1:17" ht="15.75" customHeight="1">
      <c r="A96" s="109"/>
      <c r="B96" s="33"/>
      <c r="C96" s="39"/>
      <c r="D96" s="33"/>
      <c r="E96" s="33"/>
      <c r="F96" s="33"/>
      <c r="G96" s="33"/>
      <c r="H96" s="33"/>
      <c r="I96" s="33"/>
      <c r="J96" s="120"/>
      <c r="K96" s="33"/>
      <c r="L96" s="33"/>
      <c r="M96" s="33"/>
      <c r="N96" s="33"/>
      <c r="O96" s="33"/>
      <c r="P96" s="33"/>
      <c r="Q96" s="114"/>
    </row>
    <row r="97" spans="1:17" ht="15.75" customHeight="1">
      <c r="A97" s="109"/>
      <c r="B97" s="33"/>
      <c r="C97" s="39"/>
      <c r="D97" s="33"/>
      <c r="E97" s="33"/>
      <c r="F97" s="33"/>
      <c r="G97" s="33"/>
      <c r="H97" s="33"/>
      <c r="I97" s="33"/>
      <c r="J97" s="120"/>
      <c r="K97" s="33"/>
      <c r="L97" s="33"/>
      <c r="M97" s="33"/>
      <c r="N97" s="33"/>
      <c r="O97" s="33"/>
      <c r="P97" s="33"/>
      <c r="Q97" s="114"/>
    </row>
    <row r="98" spans="1:17" ht="15.75" customHeight="1">
      <c r="A98" s="109"/>
      <c r="B98" s="33"/>
      <c r="C98" s="39"/>
      <c r="D98" s="33"/>
      <c r="E98" s="33"/>
      <c r="F98" s="33"/>
      <c r="G98" s="33"/>
      <c r="H98" s="33"/>
      <c r="I98" s="33"/>
      <c r="J98" s="120"/>
      <c r="K98" s="33"/>
      <c r="L98" s="33"/>
      <c r="M98" s="33"/>
      <c r="N98" s="33"/>
      <c r="O98" s="33"/>
      <c r="P98" s="33"/>
      <c r="Q98" s="114"/>
    </row>
    <row r="99" spans="1:17" ht="15.75" customHeight="1">
      <c r="A99" s="109"/>
      <c r="B99" s="33"/>
      <c r="C99" s="39"/>
      <c r="D99" s="33"/>
      <c r="E99" s="33"/>
      <c r="F99" s="33"/>
      <c r="G99" s="33"/>
      <c r="H99" s="33"/>
      <c r="I99" s="33"/>
      <c r="J99" s="120"/>
      <c r="K99" s="33"/>
      <c r="L99" s="33"/>
      <c r="M99" s="33"/>
      <c r="N99" s="33"/>
      <c r="O99" s="33"/>
      <c r="P99" s="33"/>
      <c r="Q99" s="114"/>
    </row>
    <row r="100" spans="1:17" ht="15.75" customHeight="1">
      <c r="A100" s="109"/>
      <c r="B100" s="33"/>
      <c r="C100" s="39"/>
      <c r="D100" s="33"/>
      <c r="E100" s="33"/>
      <c r="F100" s="33"/>
      <c r="G100" s="33"/>
      <c r="H100" s="33"/>
      <c r="I100" s="33"/>
      <c r="J100" s="120"/>
      <c r="K100" s="33"/>
      <c r="L100" s="33"/>
      <c r="M100" s="33"/>
      <c r="N100" s="33"/>
      <c r="O100" s="33"/>
      <c r="P100" s="33"/>
      <c r="Q100" s="114"/>
    </row>
    <row r="101" spans="1:17" ht="15.75" customHeight="1">
      <c r="A101" s="109"/>
      <c r="B101" s="33"/>
      <c r="C101" s="39"/>
      <c r="D101" s="33"/>
      <c r="E101" s="33"/>
      <c r="F101" s="33"/>
      <c r="G101" s="33"/>
      <c r="H101" s="33"/>
      <c r="I101" s="33"/>
      <c r="J101" s="120"/>
      <c r="K101" s="33"/>
      <c r="L101" s="33"/>
      <c r="M101" s="33"/>
      <c r="N101" s="33"/>
      <c r="O101" s="33"/>
      <c r="P101" s="33"/>
      <c r="Q101" s="114"/>
    </row>
    <row r="102" spans="1:17" ht="15.75" customHeight="1">
      <c r="A102" s="109"/>
      <c r="B102" s="33"/>
      <c r="C102" s="39"/>
      <c r="D102" s="33"/>
      <c r="E102" s="33"/>
      <c r="F102" s="33"/>
      <c r="G102" s="33"/>
      <c r="H102" s="33"/>
      <c r="I102" s="33"/>
      <c r="J102" s="120"/>
      <c r="K102" s="33"/>
      <c r="L102" s="33"/>
      <c r="M102" s="33"/>
      <c r="N102" s="33"/>
      <c r="O102" s="33"/>
      <c r="P102" s="33"/>
      <c r="Q102" s="114"/>
    </row>
    <row r="103" spans="1:17" ht="15.75" customHeight="1">
      <c r="A103" s="133"/>
      <c r="B103" s="33"/>
      <c r="C103" s="33"/>
      <c r="D103" s="33"/>
      <c r="E103" s="33"/>
      <c r="F103" s="33"/>
      <c r="G103" s="33"/>
      <c r="H103" s="33"/>
      <c r="I103" s="33"/>
      <c r="J103" s="33"/>
      <c r="K103" s="33"/>
      <c r="L103" s="33"/>
      <c r="M103" s="33"/>
      <c r="N103" s="33"/>
      <c r="O103" s="33"/>
      <c r="P103" s="33"/>
      <c r="Q103" s="114"/>
    </row>
    <row r="104" spans="1:17" ht="15.75" customHeight="1">
      <c r="A104" s="133"/>
      <c r="B104" s="33"/>
      <c r="C104" s="33"/>
      <c r="D104" s="33"/>
      <c r="E104" s="33"/>
      <c r="F104" s="33"/>
      <c r="G104" s="33"/>
      <c r="H104" s="33"/>
      <c r="I104" s="33"/>
      <c r="J104" s="33"/>
      <c r="K104" s="33"/>
      <c r="L104" s="33"/>
      <c r="M104" s="33"/>
      <c r="N104" s="33"/>
      <c r="O104" s="33"/>
      <c r="P104" s="33"/>
      <c r="Q104" s="114"/>
    </row>
    <row r="105" spans="1:17" ht="15.75" customHeight="1">
      <c r="A105" s="133"/>
      <c r="B105" s="33"/>
      <c r="C105" s="33"/>
      <c r="D105" s="33"/>
      <c r="E105" s="33"/>
      <c r="F105" s="33"/>
      <c r="G105" s="33"/>
      <c r="H105" s="33"/>
      <c r="I105" s="33"/>
      <c r="J105" s="33"/>
      <c r="K105" s="33"/>
      <c r="L105" s="33"/>
      <c r="M105" s="33"/>
      <c r="N105" s="33"/>
      <c r="O105" s="33"/>
      <c r="P105" s="33"/>
      <c r="Q105" s="114"/>
    </row>
    <row r="106" spans="1:17" ht="15.75" customHeight="1">
      <c r="A106" s="133"/>
      <c r="B106" s="33"/>
      <c r="C106" s="33"/>
      <c r="D106" s="33"/>
      <c r="E106" s="33"/>
      <c r="F106" s="33"/>
      <c r="G106" s="33"/>
      <c r="H106" s="33"/>
      <c r="I106" s="33"/>
      <c r="J106" s="33"/>
      <c r="K106" s="33"/>
      <c r="L106" s="33"/>
      <c r="M106" s="33"/>
      <c r="N106" s="33"/>
      <c r="O106" s="33"/>
      <c r="P106" s="33"/>
      <c r="Q106" s="114"/>
    </row>
    <row r="107" spans="1:17" ht="15.75" customHeight="1">
      <c r="A107" s="134"/>
      <c r="B107" s="45"/>
      <c r="C107" s="45"/>
      <c r="D107" s="45"/>
      <c r="E107" s="45"/>
      <c r="F107" s="45"/>
      <c r="G107" s="45"/>
      <c r="H107" s="33"/>
      <c r="I107" s="33"/>
      <c r="J107" s="33"/>
      <c r="K107" s="33"/>
      <c r="L107" s="33"/>
      <c r="M107" s="33"/>
      <c r="N107" s="33"/>
      <c r="O107" s="33"/>
      <c r="P107" s="33"/>
      <c r="Q107" s="114"/>
    </row>
    <row r="108" spans="1:17" ht="15.75" customHeight="1">
      <c r="A108" s="134"/>
      <c r="B108" s="45"/>
      <c r="C108" s="45"/>
      <c r="D108" s="45"/>
      <c r="E108" s="45"/>
      <c r="F108" s="45"/>
      <c r="G108" s="45"/>
      <c r="H108" s="33"/>
      <c r="I108" s="33"/>
      <c r="J108" s="33"/>
      <c r="K108" s="33"/>
      <c r="L108" s="33"/>
      <c r="M108" s="33"/>
      <c r="N108" s="33"/>
      <c r="O108" s="33"/>
      <c r="P108" s="33"/>
      <c r="Q108" s="114"/>
    </row>
    <row r="109" spans="1:17" ht="15.75" customHeight="1">
      <c r="A109" s="134"/>
      <c r="B109" s="45"/>
      <c r="C109" s="45"/>
      <c r="D109" s="45"/>
      <c r="E109" s="45"/>
      <c r="F109" s="45"/>
      <c r="G109" s="45"/>
      <c r="H109" s="33"/>
      <c r="I109" s="33"/>
      <c r="J109" s="33"/>
      <c r="K109" s="33"/>
      <c r="L109" s="33"/>
      <c r="M109" s="33"/>
      <c r="N109" s="33"/>
      <c r="O109" s="33"/>
      <c r="P109" s="33"/>
      <c r="Q109" s="114"/>
    </row>
    <row r="110" spans="1:17" ht="15.75" customHeight="1">
      <c r="A110" s="134"/>
      <c r="B110" s="45"/>
      <c r="C110" s="45"/>
      <c r="D110" s="45"/>
      <c r="E110" s="45"/>
      <c r="F110" s="45"/>
      <c r="G110" s="45"/>
      <c r="H110" s="33"/>
      <c r="I110" s="33"/>
      <c r="J110" s="33"/>
      <c r="K110" s="33"/>
      <c r="L110" s="33"/>
      <c r="M110" s="33"/>
      <c r="N110" s="33"/>
      <c r="O110" s="33"/>
      <c r="P110" s="33"/>
      <c r="Q110" s="114"/>
    </row>
    <row r="111" spans="1:17" ht="15.75" customHeight="1">
      <c r="A111" s="134"/>
      <c r="B111" s="45"/>
      <c r="C111" s="45"/>
      <c r="D111" s="45"/>
      <c r="E111" s="45"/>
      <c r="F111" s="45"/>
      <c r="G111" s="45"/>
      <c r="H111" s="33"/>
      <c r="I111" s="33"/>
      <c r="J111" s="33"/>
      <c r="K111" s="33"/>
      <c r="L111" s="33"/>
      <c r="M111" s="33"/>
      <c r="N111" s="33"/>
      <c r="O111" s="33"/>
      <c r="P111" s="33"/>
      <c r="Q111" s="114"/>
    </row>
    <row r="112" spans="1:17" ht="15.75" customHeight="1">
      <c r="A112" s="134"/>
      <c r="B112" s="45"/>
      <c r="C112" s="45"/>
      <c r="D112" s="45"/>
      <c r="E112" s="45"/>
      <c r="F112" s="45"/>
      <c r="G112" s="45"/>
      <c r="H112" s="33"/>
      <c r="I112" s="33"/>
      <c r="J112" s="33"/>
      <c r="K112" s="33"/>
      <c r="L112" s="33"/>
      <c r="M112" s="33"/>
      <c r="N112" s="33"/>
      <c r="O112" s="33"/>
      <c r="P112" s="33"/>
      <c r="Q112" s="114"/>
    </row>
    <row r="113" spans="1:17" ht="15.75" customHeight="1">
      <c r="A113" s="134"/>
      <c r="B113" s="45"/>
      <c r="C113" s="45"/>
      <c r="D113" s="45"/>
      <c r="E113" s="45"/>
      <c r="F113" s="45"/>
      <c r="G113" s="45"/>
      <c r="H113" s="33"/>
      <c r="I113" s="33"/>
      <c r="J113" s="33"/>
      <c r="K113" s="33"/>
      <c r="L113" s="33"/>
      <c r="M113" s="33"/>
      <c r="N113" s="33"/>
      <c r="O113" s="33"/>
      <c r="P113" s="33"/>
      <c r="Q113" s="114"/>
    </row>
    <row r="114" spans="1:17" ht="15.75" customHeight="1">
      <c r="A114" s="134"/>
      <c r="B114" s="45"/>
      <c r="C114" s="45"/>
      <c r="D114" s="45"/>
      <c r="E114" s="45"/>
      <c r="F114" s="45"/>
      <c r="G114" s="45"/>
      <c r="H114" s="33"/>
      <c r="I114" s="33"/>
      <c r="J114" s="33"/>
      <c r="K114" s="33"/>
      <c r="L114" s="33"/>
      <c r="M114" s="33"/>
      <c r="N114" s="33"/>
      <c r="O114" s="33"/>
      <c r="P114" s="33"/>
      <c r="Q114" s="114"/>
    </row>
    <row r="115" spans="1:17" ht="15.75" customHeight="1">
      <c r="A115" s="134"/>
      <c r="B115" s="45"/>
      <c r="C115" s="45"/>
      <c r="D115" s="45"/>
      <c r="E115" s="45"/>
      <c r="F115" s="45"/>
      <c r="G115" s="45"/>
      <c r="H115" s="33"/>
      <c r="I115" s="33"/>
      <c r="J115" s="33"/>
      <c r="K115" s="33"/>
      <c r="L115" s="33"/>
      <c r="M115" s="33"/>
      <c r="N115" s="33"/>
      <c r="O115" s="33"/>
      <c r="P115" s="33"/>
      <c r="Q115" s="114"/>
    </row>
    <row r="116" spans="1:17" ht="15.75" customHeight="1">
      <c r="A116" s="134"/>
      <c r="B116" s="45"/>
      <c r="C116" s="45"/>
      <c r="D116" s="45"/>
      <c r="E116" s="45"/>
      <c r="F116" s="45"/>
      <c r="G116" s="45"/>
      <c r="H116" s="33"/>
      <c r="I116" s="33"/>
      <c r="J116" s="33"/>
      <c r="K116" s="33"/>
      <c r="L116" s="33"/>
      <c r="M116" s="33"/>
      <c r="N116" s="33"/>
      <c r="O116" s="33"/>
      <c r="P116" s="33"/>
      <c r="Q116" s="114"/>
    </row>
    <row r="117" spans="1:17" ht="15.75" customHeight="1">
      <c r="A117" s="134"/>
      <c r="B117" s="45"/>
      <c r="C117" s="45"/>
      <c r="D117" s="45"/>
      <c r="E117" s="45"/>
      <c r="F117" s="45"/>
      <c r="G117" s="45"/>
      <c r="H117" s="33"/>
      <c r="I117" s="33"/>
      <c r="J117" s="33"/>
      <c r="K117" s="33"/>
      <c r="L117" s="33"/>
      <c r="M117" s="33"/>
      <c r="N117" s="33"/>
      <c r="O117" s="33"/>
      <c r="P117" s="33"/>
      <c r="Q117" s="114"/>
    </row>
    <row r="118" spans="1:17" ht="15.75" customHeight="1">
      <c r="A118" s="134"/>
      <c r="B118" s="45"/>
      <c r="C118" s="45"/>
      <c r="D118" s="45"/>
      <c r="E118" s="45"/>
      <c r="F118" s="45"/>
      <c r="G118" s="45"/>
      <c r="H118" s="33"/>
      <c r="I118" s="33"/>
      <c r="J118" s="33"/>
      <c r="K118" s="33"/>
      <c r="L118" s="33"/>
      <c r="M118" s="33"/>
      <c r="N118" s="33"/>
      <c r="O118" s="33"/>
      <c r="P118" s="33"/>
      <c r="Q118" s="114"/>
    </row>
    <row r="119" spans="1:17" ht="15.75" customHeight="1">
      <c r="A119" s="134"/>
      <c r="B119" s="45"/>
      <c r="C119" s="45"/>
      <c r="D119" s="45"/>
      <c r="E119" s="45"/>
      <c r="F119" s="45"/>
      <c r="G119" s="45"/>
      <c r="H119" s="33"/>
      <c r="I119" s="33"/>
      <c r="J119" s="33"/>
      <c r="K119" s="33"/>
      <c r="L119" s="33"/>
      <c r="M119" s="33"/>
      <c r="N119" s="33"/>
      <c r="O119" s="33"/>
      <c r="P119" s="33"/>
      <c r="Q119" s="114"/>
    </row>
    <row r="120" spans="1:17" ht="15.75" customHeight="1">
      <c r="A120" s="134"/>
      <c r="B120" s="45"/>
      <c r="C120" s="45"/>
      <c r="D120" s="45"/>
      <c r="E120" s="45"/>
      <c r="F120" s="45"/>
      <c r="G120" s="45"/>
      <c r="H120" s="33"/>
      <c r="I120" s="33"/>
      <c r="J120" s="33"/>
      <c r="K120" s="33"/>
      <c r="L120" s="33"/>
      <c r="M120" s="33"/>
      <c r="N120" s="33"/>
      <c r="O120" s="33"/>
      <c r="P120" s="33"/>
      <c r="Q120" s="114"/>
    </row>
    <row r="121" spans="1:17" ht="15.75" customHeight="1">
      <c r="A121" s="134"/>
      <c r="B121" s="45"/>
      <c r="C121" s="45"/>
      <c r="D121" s="45"/>
      <c r="E121" s="45"/>
      <c r="F121" s="45"/>
      <c r="G121" s="45"/>
      <c r="H121" s="33"/>
      <c r="I121" s="33"/>
      <c r="J121" s="33"/>
      <c r="K121" s="33"/>
      <c r="L121" s="33"/>
      <c r="M121" s="33"/>
      <c r="N121" s="33"/>
      <c r="O121" s="33"/>
      <c r="P121" s="33"/>
      <c r="Q121" s="114"/>
    </row>
    <row r="122" spans="1:17" ht="15.75" customHeight="1">
      <c r="A122" s="134"/>
      <c r="B122" s="45"/>
      <c r="C122" s="45"/>
      <c r="D122" s="45"/>
      <c r="E122" s="45"/>
      <c r="F122" s="45"/>
      <c r="G122" s="45"/>
      <c r="H122" s="33"/>
      <c r="I122" s="33"/>
      <c r="J122" s="33"/>
      <c r="K122" s="33"/>
      <c r="L122" s="33"/>
      <c r="M122" s="33"/>
      <c r="N122" s="33"/>
      <c r="O122" s="33"/>
      <c r="P122" s="33"/>
      <c r="Q122" s="114"/>
    </row>
    <row r="123" spans="1:17" ht="15.75" customHeight="1">
      <c r="A123" s="134"/>
      <c r="B123" s="45"/>
      <c r="C123" s="45"/>
      <c r="D123" s="45"/>
      <c r="E123" s="45"/>
      <c r="F123" s="45"/>
      <c r="G123" s="45"/>
      <c r="H123" s="33"/>
      <c r="I123" s="33"/>
      <c r="J123" s="33"/>
      <c r="K123" s="33"/>
      <c r="L123" s="33"/>
      <c r="M123" s="33"/>
      <c r="N123" s="33"/>
      <c r="O123" s="33"/>
      <c r="P123" s="33"/>
      <c r="Q123" s="114"/>
    </row>
    <row r="124" spans="1:17" ht="15.75" customHeight="1">
      <c r="A124" s="134"/>
      <c r="B124" s="45"/>
      <c r="C124" s="45"/>
      <c r="D124" s="45"/>
      <c r="E124" s="45"/>
      <c r="F124" s="45"/>
      <c r="G124" s="45"/>
      <c r="H124" s="33"/>
      <c r="I124" s="33"/>
      <c r="J124" s="33"/>
      <c r="K124" s="33"/>
      <c r="L124" s="33"/>
      <c r="M124" s="33"/>
      <c r="N124" s="33"/>
      <c r="O124" s="33"/>
      <c r="P124" s="33"/>
      <c r="Q124" s="114"/>
    </row>
    <row r="125" spans="1:17" ht="15.75" customHeight="1">
      <c r="A125" s="134"/>
      <c r="B125" s="45"/>
      <c r="C125" s="45"/>
      <c r="D125" s="45"/>
      <c r="E125" s="45"/>
      <c r="F125" s="45"/>
      <c r="G125" s="45"/>
      <c r="H125" s="33"/>
      <c r="I125" s="33"/>
      <c r="J125" s="33"/>
      <c r="K125" s="33"/>
      <c r="L125" s="33"/>
      <c r="M125" s="33"/>
      <c r="N125" s="33"/>
      <c r="O125" s="33"/>
      <c r="P125" s="33"/>
      <c r="Q125" s="114"/>
    </row>
    <row r="126" spans="1:17" ht="15.75" customHeight="1">
      <c r="A126" s="134"/>
      <c r="B126" s="45"/>
      <c r="C126" s="45"/>
      <c r="D126" s="45"/>
      <c r="E126" s="45"/>
      <c r="F126" s="45"/>
      <c r="G126" s="45"/>
      <c r="H126" s="33"/>
      <c r="I126" s="33"/>
      <c r="J126" s="33"/>
      <c r="K126" s="33"/>
      <c r="L126" s="33"/>
      <c r="M126" s="33"/>
      <c r="N126" s="33"/>
      <c r="O126" s="33"/>
      <c r="P126" s="33"/>
      <c r="Q126" s="114"/>
    </row>
    <row r="127" spans="1:17" ht="15.75" customHeight="1">
      <c r="A127" s="134"/>
      <c r="B127" s="45"/>
      <c r="C127" s="45"/>
      <c r="D127" s="45"/>
      <c r="E127" s="45"/>
      <c r="F127" s="45"/>
      <c r="G127" s="45"/>
      <c r="H127" s="33"/>
      <c r="I127" s="33"/>
      <c r="J127" s="33"/>
      <c r="K127" s="33"/>
      <c r="L127" s="33"/>
      <c r="M127" s="33"/>
      <c r="N127" s="33"/>
      <c r="O127" s="33"/>
      <c r="P127" s="33"/>
      <c r="Q127" s="114"/>
    </row>
    <row r="128" spans="1:17" ht="15.75" customHeight="1">
      <c r="A128" s="134"/>
      <c r="B128" s="45"/>
      <c r="C128" s="45"/>
      <c r="D128" s="45"/>
      <c r="E128" s="45"/>
      <c r="F128" s="45"/>
      <c r="G128" s="45"/>
      <c r="H128" s="33"/>
      <c r="I128" s="33"/>
      <c r="J128" s="33"/>
      <c r="K128" s="33"/>
      <c r="L128" s="33"/>
      <c r="M128" s="33"/>
      <c r="N128" s="33"/>
      <c r="O128" s="33"/>
      <c r="P128" s="33"/>
      <c r="Q128" s="114"/>
    </row>
    <row r="129" spans="1:17" ht="15.75" customHeight="1">
      <c r="A129" s="134"/>
      <c r="B129" s="45"/>
      <c r="C129" s="45"/>
      <c r="D129" s="45"/>
      <c r="E129" s="45"/>
      <c r="F129" s="45"/>
      <c r="G129" s="45"/>
      <c r="H129" s="33"/>
      <c r="I129" s="33"/>
      <c r="J129" s="33"/>
      <c r="K129" s="33"/>
      <c r="L129" s="33"/>
      <c r="M129" s="33"/>
      <c r="N129" s="33"/>
      <c r="O129" s="33"/>
      <c r="P129" s="33"/>
      <c r="Q129" s="114"/>
    </row>
    <row r="130" spans="1:17" ht="15.75" customHeight="1">
      <c r="A130" s="134"/>
      <c r="B130" s="45"/>
      <c r="C130" s="45"/>
      <c r="D130" s="45"/>
      <c r="E130" s="45"/>
      <c r="F130" s="45"/>
      <c r="G130" s="45"/>
      <c r="H130" s="33"/>
      <c r="I130" s="33"/>
      <c r="J130" s="33"/>
      <c r="K130" s="33"/>
      <c r="L130" s="33"/>
      <c r="M130" s="33"/>
      <c r="N130" s="33"/>
      <c r="O130" s="33"/>
      <c r="P130" s="33"/>
      <c r="Q130" s="114"/>
    </row>
    <row r="131" spans="1:17" ht="15.75" customHeight="1">
      <c r="A131" s="134"/>
      <c r="B131" s="45"/>
      <c r="C131" s="45"/>
      <c r="D131" s="45"/>
      <c r="E131" s="45"/>
      <c r="F131" s="45"/>
      <c r="G131" s="45"/>
      <c r="H131" s="33"/>
      <c r="I131" s="33"/>
      <c r="J131" s="33"/>
      <c r="K131" s="33"/>
      <c r="L131" s="33"/>
      <c r="M131" s="33"/>
      <c r="N131" s="33"/>
      <c r="O131" s="33"/>
      <c r="P131" s="33"/>
      <c r="Q131" s="114"/>
    </row>
    <row r="132" spans="1:17" ht="15.75" customHeight="1">
      <c r="A132" s="134"/>
      <c r="B132" s="45"/>
      <c r="C132" s="45"/>
      <c r="D132" s="45"/>
      <c r="E132" s="45"/>
      <c r="F132" s="45"/>
      <c r="G132" s="45"/>
      <c r="H132" s="33"/>
      <c r="I132" s="33"/>
      <c r="J132" s="33"/>
      <c r="K132" s="33"/>
      <c r="L132" s="33"/>
      <c r="M132" s="33"/>
      <c r="N132" s="33"/>
      <c r="O132" s="33"/>
      <c r="P132" s="33"/>
      <c r="Q132" s="114"/>
    </row>
    <row r="133" spans="1:17" ht="15.75" customHeight="1">
      <c r="A133" s="134"/>
      <c r="B133" s="45"/>
      <c r="C133" s="45"/>
      <c r="D133" s="45"/>
      <c r="E133" s="45"/>
      <c r="F133" s="45"/>
      <c r="G133" s="45"/>
      <c r="H133" s="33"/>
      <c r="I133" s="33"/>
      <c r="J133" s="33"/>
      <c r="K133" s="33"/>
      <c r="L133" s="33"/>
      <c r="M133" s="33"/>
      <c r="N133" s="33"/>
      <c r="O133" s="33"/>
      <c r="P133" s="33"/>
      <c r="Q133" s="114"/>
    </row>
    <row r="134" spans="1:17" ht="15.75" customHeight="1">
      <c r="A134" s="134"/>
      <c r="B134" s="45"/>
      <c r="C134" s="45"/>
      <c r="D134" s="45"/>
      <c r="E134" s="45"/>
      <c r="F134" s="45"/>
      <c r="G134" s="45"/>
      <c r="H134" s="33"/>
      <c r="I134" s="33"/>
      <c r="J134" s="33"/>
      <c r="K134" s="33"/>
      <c r="L134" s="33"/>
      <c r="M134" s="33"/>
      <c r="N134" s="33"/>
      <c r="O134" s="33"/>
      <c r="P134" s="33"/>
      <c r="Q134" s="114"/>
    </row>
    <row r="135" spans="1:17" ht="15.75" customHeight="1">
      <c r="A135" s="134"/>
      <c r="B135" s="45"/>
      <c r="C135" s="45"/>
      <c r="D135" s="45"/>
      <c r="E135" s="45"/>
      <c r="F135" s="45"/>
      <c r="G135" s="45"/>
      <c r="H135" s="33"/>
      <c r="I135" s="33"/>
      <c r="J135" s="33"/>
      <c r="K135" s="33"/>
      <c r="L135" s="33"/>
      <c r="M135" s="33"/>
      <c r="N135" s="33"/>
      <c r="O135" s="33"/>
      <c r="P135" s="33"/>
      <c r="Q135" s="114"/>
    </row>
    <row r="136" spans="1:17" ht="15.75" customHeight="1">
      <c r="A136" s="134"/>
      <c r="B136" s="45"/>
      <c r="C136" s="45"/>
      <c r="D136" s="45"/>
      <c r="E136" s="45"/>
      <c r="F136" s="45"/>
      <c r="G136" s="45"/>
      <c r="H136" s="33"/>
      <c r="I136" s="33"/>
      <c r="J136" s="33"/>
      <c r="K136" s="33"/>
      <c r="L136" s="33"/>
      <c r="M136" s="33"/>
      <c r="N136" s="33"/>
      <c r="O136" s="33"/>
      <c r="P136" s="33"/>
      <c r="Q136" s="114"/>
    </row>
    <row r="137" spans="1:17" ht="15.75" customHeight="1">
      <c r="A137" s="134"/>
      <c r="B137" s="45"/>
      <c r="C137" s="45"/>
      <c r="D137" s="45"/>
      <c r="E137" s="45"/>
      <c r="F137" s="45"/>
      <c r="G137" s="45"/>
      <c r="H137" s="33"/>
      <c r="I137" s="33"/>
      <c r="J137" s="33"/>
      <c r="K137" s="33"/>
      <c r="L137" s="33"/>
      <c r="M137" s="33"/>
      <c r="N137" s="33"/>
      <c r="O137" s="33"/>
      <c r="P137" s="33"/>
      <c r="Q137" s="114"/>
    </row>
    <row r="138" spans="1:17" ht="15.75" customHeight="1">
      <c r="A138" s="134"/>
      <c r="B138" s="45"/>
      <c r="C138" s="45"/>
      <c r="D138" s="45"/>
      <c r="E138" s="45"/>
      <c r="F138" s="45"/>
      <c r="G138" s="45"/>
      <c r="H138" s="33"/>
      <c r="I138" s="33"/>
      <c r="J138" s="33"/>
      <c r="K138" s="33"/>
      <c r="L138" s="33"/>
      <c r="M138" s="33"/>
      <c r="N138" s="33"/>
      <c r="O138" s="33"/>
      <c r="P138" s="33"/>
      <c r="Q138" s="114"/>
    </row>
    <row r="139" spans="1:17" ht="15.75" customHeight="1">
      <c r="A139" s="134"/>
      <c r="B139" s="45"/>
      <c r="C139" s="45"/>
      <c r="D139" s="45"/>
      <c r="E139" s="45"/>
      <c r="F139" s="45"/>
      <c r="G139" s="45"/>
      <c r="H139" s="33"/>
      <c r="I139" s="33"/>
      <c r="J139" s="33"/>
      <c r="K139" s="33"/>
      <c r="L139" s="33"/>
      <c r="M139" s="33"/>
      <c r="N139" s="33"/>
      <c r="O139" s="33"/>
      <c r="P139" s="33"/>
      <c r="Q139" s="114"/>
    </row>
    <row r="140" spans="1:17" ht="15.75" customHeight="1">
      <c r="A140" s="134"/>
      <c r="B140" s="45"/>
      <c r="C140" s="45"/>
      <c r="D140" s="45"/>
      <c r="E140" s="45"/>
      <c r="F140" s="45"/>
      <c r="G140" s="45"/>
      <c r="H140" s="33"/>
      <c r="I140" s="33"/>
      <c r="J140" s="33"/>
      <c r="K140" s="33"/>
      <c r="L140" s="33"/>
      <c r="M140" s="33"/>
      <c r="N140" s="33"/>
      <c r="O140" s="33"/>
      <c r="P140" s="33"/>
      <c r="Q140" s="114"/>
    </row>
    <row r="141" spans="1:17" ht="15.75" customHeight="1">
      <c r="A141" s="134"/>
      <c r="B141" s="45"/>
      <c r="C141" s="45"/>
      <c r="D141" s="45"/>
      <c r="E141" s="45"/>
      <c r="F141" s="45"/>
      <c r="G141" s="45"/>
      <c r="H141" s="33"/>
      <c r="I141" s="33"/>
      <c r="J141" s="33"/>
      <c r="K141" s="33"/>
      <c r="L141" s="33"/>
      <c r="M141" s="33"/>
      <c r="N141" s="33"/>
      <c r="O141" s="33"/>
      <c r="P141" s="33"/>
      <c r="Q141" s="114"/>
    </row>
    <row r="142" spans="1:17" ht="15.75" customHeight="1">
      <c r="A142" s="134"/>
      <c r="B142" s="45"/>
      <c r="C142" s="45"/>
      <c r="D142" s="45"/>
      <c r="E142" s="45"/>
      <c r="F142" s="45"/>
      <c r="G142" s="45"/>
      <c r="H142" s="33"/>
      <c r="I142" s="33"/>
      <c r="J142" s="33"/>
      <c r="K142" s="33"/>
      <c r="L142" s="33"/>
      <c r="M142" s="33"/>
      <c r="N142" s="33"/>
      <c r="O142" s="33"/>
      <c r="P142" s="33"/>
      <c r="Q142" s="114"/>
    </row>
    <row r="143" spans="1:17" ht="15.75" customHeight="1">
      <c r="A143" s="134"/>
      <c r="B143" s="45"/>
      <c r="C143" s="45"/>
      <c r="D143" s="45"/>
      <c r="E143" s="45"/>
      <c r="F143" s="45"/>
      <c r="G143" s="45"/>
      <c r="H143" s="33"/>
      <c r="I143" s="33"/>
      <c r="J143" s="33"/>
      <c r="K143" s="33"/>
      <c r="L143" s="33"/>
      <c r="M143" s="33"/>
      <c r="N143" s="33"/>
      <c r="O143" s="33"/>
      <c r="P143" s="33"/>
      <c r="Q143" s="114"/>
    </row>
    <row r="144" spans="1:17" ht="15.75" customHeight="1">
      <c r="A144" s="134"/>
      <c r="B144" s="45"/>
      <c r="C144" s="45"/>
      <c r="D144" s="45"/>
      <c r="E144" s="45"/>
      <c r="F144" s="45"/>
      <c r="G144" s="45"/>
      <c r="H144" s="33"/>
      <c r="I144" s="33"/>
      <c r="J144" s="33"/>
      <c r="K144" s="33"/>
      <c r="L144" s="33"/>
      <c r="M144" s="33"/>
      <c r="N144" s="33"/>
      <c r="O144" s="33"/>
      <c r="P144" s="33"/>
      <c r="Q144" s="114"/>
    </row>
    <row r="145" spans="1:17" ht="15.75" customHeight="1">
      <c r="A145" s="134"/>
      <c r="B145" s="45"/>
      <c r="C145" s="45"/>
      <c r="D145" s="45"/>
      <c r="E145" s="45"/>
      <c r="F145" s="45"/>
      <c r="G145" s="45"/>
      <c r="H145" s="33"/>
      <c r="I145" s="33"/>
      <c r="J145" s="33"/>
      <c r="K145" s="33"/>
      <c r="L145" s="33"/>
      <c r="M145" s="33"/>
      <c r="N145" s="33"/>
      <c r="O145" s="33"/>
      <c r="P145" s="33"/>
      <c r="Q145" s="114"/>
    </row>
    <row r="146" spans="1:17" ht="15.75" customHeight="1">
      <c r="A146" s="134"/>
      <c r="B146" s="45"/>
      <c r="C146" s="45"/>
      <c r="D146" s="45"/>
      <c r="E146" s="45"/>
      <c r="F146" s="45"/>
      <c r="G146" s="45"/>
      <c r="H146" s="33"/>
      <c r="I146" s="33"/>
      <c r="J146" s="33"/>
      <c r="K146" s="33"/>
      <c r="L146" s="33"/>
      <c r="M146" s="33"/>
      <c r="N146" s="33"/>
      <c r="O146" s="33"/>
      <c r="P146" s="33"/>
      <c r="Q146" s="114"/>
    </row>
    <row r="147" spans="1:17" ht="15.75" customHeight="1">
      <c r="A147" s="134"/>
      <c r="B147" s="45"/>
      <c r="C147" s="45"/>
      <c r="D147" s="45"/>
      <c r="E147" s="45"/>
      <c r="F147" s="45"/>
      <c r="G147" s="45"/>
      <c r="H147" s="33"/>
      <c r="I147" s="33"/>
      <c r="J147" s="33"/>
      <c r="K147" s="33"/>
      <c r="L147" s="33"/>
      <c r="M147" s="33"/>
      <c r="N147" s="33"/>
      <c r="O147" s="33"/>
      <c r="P147" s="33"/>
      <c r="Q147" s="114"/>
    </row>
    <row r="148" spans="1:17" ht="15.75" customHeight="1">
      <c r="A148" s="134"/>
      <c r="B148" s="45"/>
      <c r="C148" s="45"/>
      <c r="D148" s="45"/>
      <c r="E148" s="45"/>
      <c r="F148" s="45"/>
      <c r="G148" s="45"/>
      <c r="H148" s="33"/>
      <c r="I148" s="33"/>
      <c r="J148" s="33"/>
      <c r="K148" s="33"/>
      <c r="L148" s="33"/>
      <c r="M148" s="33"/>
      <c r="N148" s="33"/>
      <c r="O148" s="33"/>
      <c r="P148" s="33"/>
      <c r="Q148" s="114"/>
    </row>
    <row r="149" spans="1:17" ht="15.75" customHeight="1">
      <c r="A149" s="134"/>
      <c r="B149" s="45"/>
      <c r="C149" s="45"/>
      <c r="D149" s="45"/>
      <c r="E149" s="45"/>
      <c r="F149" s="45"/>
      <c r="G149" s="45"/>
      <c r="H149" s="33"/>
      <c r="I149" s="33"/>
      <c r="J149" s="33"/>
      <c r="K149" s="33"/>
      <c r="L149" s="33"/>
      <c r="M149" s="33"/>
      <c r="N149" s="33"/>
      <c r="O149" s="33"/>
      <c r="P149" s="33"/>
      <c r="Q149" s="114"/>
    </row>
    <row r="150" spans="1:17" ht="15.75" customHeight="1">
      <c r="A150" s="134"/>
      <c r="B150" s="45"/>
      <c r="C150" s="45"/>
      <c r="D150" s="45"/>
      <c r="E150" s="45"/>
      <c r="F150" s="45"/>
      <c r="G150" s="45"/>
      <c r="H150" s="33"/>
      <c r="I150" s="33"/>
      <c r="J150" s="33"/>
      <c r="K150" s="33"/>
      <c r="L150" s="33"/>
      <c r="M150" s="33"/>
      <c r="N150" s="33"/>
      <c r="O150" s="33"/>
      <c r="P150" s="33"/>
      <c r="Q150" s="114"/>
    </row>
    <row r="151" spans="1:17" ht="15.75" customHeight="1">
      <c r="A151" s="134"/>
      <c r="B151" s="45"/>
      <c r="C151" s="45"/>
      <c r="D151" s="45"/>
      <c r="E151" s="45"/>
      <c r="F151" s="45"/>
      <c r="G151" s="45"/>
      <c r="H151" s="33"/>
      <c r="I151" s="33"/>
      <c r="J151" s="33"/>
      <c r="K151" s="33"/>
      <c r="L151" s="33"/>
      <c r="M151" s="33"/>
      <c r="N151" s="33"/>
      <c r="O151" s="33"/>
      <c r="P151" s="33"/>
      <c r="Q151" s="114"/>
    </row>
    <row r="152" spans="1:17" ht="15.75" customHeight="1">
      <c r="A152" s="134"/>
      <c r="B152" s="45"/>
      <c r="C152" s="45"/>
      <c r="D152" s="45"/>
      <c r="E152" s="45"/>
      <c r="F152" s="45"/>
      <c r="G152" s="45"/>
      <c r="H152" s="33"/>
      <c r="I152" s="33"/>
      <c r="J152" s="33"/>
      <c r="K152" s="33"/>
      <c r="L152" s="33"/>
      <c r="M152" s="33"/>
      <c r="N152" s="33"/>
      <c r="O152" s="33"/>
      <c r="P152" s="33"/>
      <c r="Q152" s="114"/>
    </row>
    <row r="153" spans="1:17" ht="15.75" customHeight="1">
      <c r="A153" s="134"/>
      <c r="B153" s="45"/>
      <c r="C153" s="45"/>
      <c r="D153" s="45"/>
      <c r="E153" s="45"/>
      <c r="F153" s="45"/>
      <c r="G153" s="45"/>
      <c r="H153" s="33"/>
      <c r="I153" s="33"/>
      <c r="J153" s="33"/>
      <c r="K153" s="33"/>
      <c r="L153" s="33"/>
      <c r="M153" s="33"/>
      <c r="N153" s="33"/>
      <c r="O153" s="33"/>
      <c r="P153" s="33"/>
      <c r="Q153" s="114"/>
    </row>
    <row r="154" spans="1:17" ht="15.75" customHeight="1">
      <c r="A154" s="134"/>
      <c r="B154" s="45"/>
      <c r="C154" s="45"/>
      <c r="D154" s="45"/>
      <c r="E154" s="45"/>
      <c r="F154" s="45"/>
      <c r="G154" s="45"/>
      <c r="H154" s="33"/>
      <c r="I154" s="33"/>
      <c r="J154" s="33"/>
      <c r="K154" s="33"/>
      <c r="L154" s="33"/>
      <c r="M154" s="33"/>
      <c r="N154" s="33"/>
      <c r="O154" s="33"/>
      <c r="P154" s="33"/>
      <c r="Q154" s="114"/>
    </row>
    <row r="155" spans="1:17" ht="15.75" customHeight="1">
      <c r="A155" s="134"/>
      <c r="B155" s="45"/>
      <c r="C155" s="45"/>
      <c r="D155" s="45"/>
      <c r="E155" s="45"/>
      <c r="F155" s="45"/>
      <c r="G155" s="45"/>
      <c r="H155" s="33"/>
      <c r="I155" s="33"/>
      <c r="J155" s="33"/>
      <c r="K155" s="33"/>
      <c r="L155" s="33"/>
      <c r="M155" s="33"/>
      <c r="N155" s="33"/>
      <c r="O155" s="33"/>
      <c r="P155" s="33"/>
      <c r="Q155" s="114"/>
    </row>
    <row r="156" spans="1:17" ht="15.75" customHeight="1">
      <c r="A156" s="134"/>
      <c r="B156" s="45"/>
      <c r="C156" s="45"/>
      <c r="D156" s="45"/>
      <c r="E156" s="45"/>
      <c r="F156" s="45"/>
      <c r="G156" s="45"/>
      <c r="H156" s="33"/>
      <c r="I156" s="33"/>
      <c r="J156" s="33"/>
      <c r="K156" s="33"/>
      <c r="L156" s="33"/>
      <c r="M156" s="33"/>
      <c r="N156" s="33"/>
      <c r="O156" s="33"/>
      <c r="P156" s="33"/>
      <c r="Q156" s="114"/>
    </row>
    <row r="157" spans="1:17" ht="15.75" customHeight="1">
      <c r="A157" s="134"/>
      <c r="B157" s="45"/>
      <c r="C157" s="45"/>
      <c r="D157" s="45"/>
      <c r="E157" s="45"/>
      <c r="F157" s="45"/>
      <c r="G157" s="45"/>
      <c r="H157" s="33"/>
      <c r="I157" s="33"/>
      <c r="J157" s="33"/>
      <c r="K157" s="33"/>
      <c r="L157" s="33"/>
      <c r="M157" s="33"/>
      <c r="N157" s="33"/>
      <c r="O157" s="33"/>
      <c r="P157" s="33"/>
      <c r="Q157" s="114"/>
    </row>
    <row r="158" spans="1:17" ht="15.75" customHeight="1">
      <c r="A158" s="134"/>
      <c r="B158" s="45"/>
      <c r="C158" s="45"/>
      <c r="D158" s="45"/>
      <c r="E158" s="45"/>
      <c r="F158" s="45"/>
      <c r="G158" s="45"/>
      <c r="H158" s="33"/>
      <c r="I158" s="33"/>
      <c r="J158" s="33"/>
      <c r="K158" s="33"/>
      <c r="L158" s="33"/>
      <c r="M158" s="33"/>
      <c r="N158" s="33"/>
      <c r="O158" s="33"/>
      <c r="P158" s="33"/>
      <c r="Q158" s="114"/>
    </row>
    <row r="159" spans="1:17" ht="15.75" customHeight="1">
      <c r="A159" s="134"/>
      <c r="B159" s="45"/>
      <c r="C159" s="45"/>
      <c r="D159" s="45"/>
      <c r="E159" s="45"/>
      <c r="F159" s="45"/>
      <c r="G159" s="45"/>
      <c r="H159" s="33"/>
      <c r="I159" s="33"/>
      <c r="J159" s="33"/>
      <c r="K159" s="33"/>
      <c r="L159" s="33"/>
      <c r="M159" s="33"/>
      <c r="N159" s="33"/>
      <c r="O159" s="33"/>
      <c r="P159" s="33"/>
      <c r="Q159" s="114"/>
    </row>
    <row r="160" spans="1:17" ht="15.75" customHeight="1">
      <c r="A160" s="134"/>
      <c r="B160" s="45"/>
      <c r="C160" s="45"/>
      <c r="D160" s="45"/>
      <c r="E160" s="45"/>
      <c r="F160" s="45"/>
      <c r="G160" s="45"/>
      <c r="H160" s="33"/>
      <c r="I160" s="33"/>
      <c r="J160" s="33"/>
      <c r="K160" s="33"/>
      <c r="L160" s="33"/>
      <c r="M160" s="33"/>
      <c r="N160" s="33"/>
      <c r="O160" s="33"/>
      <c r="P160" s="33"/>
      <c r="Q160" s="114"/>
    </row>
    <row r="161" spans="1:17" ht="15.75" customHeight="1">
      <c r="A161" s="134"/>
      <c r="B161" s="45"/>
      <c r="C161" s="45"/>
      <c r="D161" s="45"/>
      <c r="E161" s="45"/>
      <c r="F161" s="45"/>
      <c r="G161" s="45"/>
      <c r="H161" s="33"/>
      <c r="I161" s="33"/>
      <c r="J161" s="33"/>
      <c r="K161" s="33"/>
      <c r="L161" s="33"/>
      <c r="M161" s="33"/>
      <c r="N161" s="33"/>
      <c r="O161" s="33"/>
      <c r="P161" s="33"/>
      <c r="Q161" s="114"/>
    </row>
    <row r="162" spans="1:17" ht="15.75" customHeight="1">
      <c r="A162" s="134"/>
      <c r="B162" s="45"/>
      <c r="C162" s="45"/>
      <c r="D162" s="45"/>
      <c r="E162" s="45"/>
      <c r="F162" s="45"/>
      <c r="G162" s="45"/>
      <c r="H162" s="33"/>
      <c r="I162" s="33"/>
      <c r="J162" s="33"/>
      <c r="K162" s="33"/>
      <c r="L162" s="33"/>
      <c r="M162" s="33"/>
      <c r="N162" s="33"/>
      <c r="O162" s="33"/>
      <c r="P162" s="33"/>
      <c r="Q162" s="114"/>
    </row>
    <row r="163" spans="1:17" ht="15.75" customHeight="1">
      <c r="A163" s="134"/>
      <c r="B163" s="45"/>
      <c r="C163" s="45"/>
      <c r="D163" s="45"/>
      <c r="E163" s="45"/>
      <c r="F163" s="45"/>
      <c r="G163" s="45"/>
      <c r="H163" s="33"/>
      <c r="I163" s="33"/>
      <c r="J163" s="33"/>
      <c r="K163" s="33"/>
      <c r="L163" s="33"/>
      <c r="M163" s="33"/>
      <c r="N163" s="33"/>
      <c r="O163" s="33"/>
      <c r="P163" s="33"/>
      <c r="Q163" s="114"/>
    </row>
    <row r="164" spans="1:17" ht="15.75" customHeight="1">
      <c r="A164" s="134"/>
      <c r="B164" s="45"/>
      <c r="C164" s="45"/>
      <c r="D164" s="45"/>
      <c r="E164" s="45"/>
      <c r="F164" s="45"/>
      <c r="G164" s="45"/>
      <c r="H164" s="33"/>
      <c r="I164" s="33"/>
      <c r="J164" s="33"/>
      <c r="K164" s="33"/>
      <c r="L164" s="33"/>
      <c r="M164" s="33"/>
      <c r="N164" s="33"/>
      <c r="O164" s="33"/>
      <c r="P164" s="33"/>
      <c r="Q164" s="114"/>
    </row>
    <row r="165" spans="1:17" ht="15.75" customHeight="1">
      <c r="A165" s="134"/>
      <c r="B165" s="45"/>
      <c r="C165" s="45"/>
      <c r="D165" s="45"/>
      <c r="E165" s="45"/>
      <c r="F165" s="45"/>
      <c r="G165" s="45"/>
      <c r="H165" s="33"/>
      <c r="I165" s="33"/>
      <c r="J165" s="33"/>
      <c r="K165" s="33"/>
      <c r="L165" s="33"/>
      <c r="M165" s="33"/>
      <c r="N165" s="33"/>
      <c r="O165" s="33"/>
      <c r="P165" s="33"/>
      <c r="Q165" s="114"/>
    </row>
    <row r="166" spans="1:17" ht="15.75" customHeight="1">
      <c r="A166" s="134"/>
      <c r="B166" s="45"/>
      <c r="C166" s="45"/>
      <c r="D166" s="45"/>
      <c r="E166" s="45"/>
      <c r="F166" s="45"/>
      <c r="G166" s="45"/>
      <c r="H166" s="33"/>
      <c r="I166" s="33"/>
      <c r="J166" s="33"/>
      <c r="K166" s="33"/>
      <c r="L166" s="33"/>
      <c r="M166" s="33"/>
      <c r="N166" s="33"/>
      <c r="O166" s="33"/>
      <c r="P166" s="33"/>
      <c r="Q166" s="114"/>
    </row>
    <row r="167" spans="1:17" ht="15.75" customHeight="1">
      <c r="A167" s="134"/>
      <c r="B167" s="45"/>
      <c r="C167" s="45"/>
      <c r="D167" s="45"/>
      <c r="E167" s="45"/>
      <c r="F167" s="45"/>
      <c r="G167" s="45"/>
      <c r="H167" s="33"/>
      <c r="I167" s="33"/>
      <c r="J167" s="33"/>
      <c r="K167" s="33"/>
      <c r="L167" s="33"/>
      <c r="M167" s="33"/>
      <c r="N167" s="33"/>
      <c r="O167" s="33"/>
      <c r="P167" s="33"/>
      <c r="Q167" s="114"/>
    </row>
    <row r="168" spans="1:17" ht="15.75" customHeight="1">
      <c r="A168" s="134"/>
      <c r="B168" s="45"/>
      <c r="C168" s="45"/>
      <c r="D168" s="45"/>
      <c r="E168" s="45"/>
      <c r="F168" s="45"/>
      <c r="G168" s="45"/>
      <c r="H168" s="33"/>
      <c r="I168" s="33"/>
      <c r="J168" s="33"/>
      <c r="K168" s="33"/>
      <c r="L168" s="33"/>
      <c r="M168" s="33"/>
      <c r="N168" s="33"/>
      <c r="O168" s="33"/>
      <c r="P168" s="33"/>
      <c r="Q168" s="114"/>
    </row>
    <row r="169" spans="1:17" ht="15.75" customHeight="1">
      <c r="A169" s="134"/>
      <c r="B169" s="45"/>
      <c r="C169" s="45"/>
      <c r="D169" s="45"/>
      <c r="E169" s="45"/>
      <c r="F169" s="45"/>
      <c r="G169" s="45"/>
      <c r="H169" s="33"/>
      <c r="I169" s="33"/>
      <c r="J169" s="33"/>
      <c r="K169" s="33"/>
      <c r="L169" s="33"/>
      <c r="M169" s="33"/>
      <c r="N169" s="33"/>
      <c r="O169" s="33"/>
      <c r="P169" s="33"/>
      <c r="Q169" s="114"/>
    </row>
    <row r="170" spans="1:17" ht="15.75" customHeight="1">
      <c r="A170" s="134"/>
      <c r="B170" s="45"/>
      <c r="C170" s="45"/>
      <c r="D170" s="45"/>
      <c r="E170" s="45"/>
      <c r="F170" s="45"/>
      <c r="G170" s="45"/>
      <c r="H170" s="33"/>
      <c r="I170" s="33"/>
      <c r="J170" s="33"/>
      <c r="K170" s="33"/>
      <c r="L170" s="33"/>
      <c r="M170" s="33"/>
      <c r="N170" s="33"/>
      <c r="O170" s="33"/>
      <c r="P170" s="33"/>
      <c r="Q170" s="114"/>
    </row>
    <row r="171" spans="1:17" ht="15.75" customHeight="1">
      <c r="A171" s="134"/>
      <c r="B171" s="45"/>
      <c r="C171" s="45"/>
      <c r="D171" s="45"/>
      <c r="E171" s="45"/>
      <c r="F171" s="45"/>
      <c r="G171" s="45"/>
      <c r="H171" s="33"/>
      <c r="I171" s="33"/>
      <c r="J171" s="33"/>
      <c r="K171" s="33"/>
      <c r="L171" s="33"/>
      <c r="M171" s="33"/>
      <c r="N171" s="33"/>
      <c r="O171" s="33"/>
      <c r="P171" s="33"/>
      <c r="Q171" s="114"/>
    </row>
    <row r="172" spans="1:17" ht="15.75" customHeight="1">
      <c r="A172" s="134"/>
      <c r="B172" s="45"/>
      <c r="C172" s="45"/>
      <c r="D172" s="45"/>
      <c r="E172" s="45"/>
      <c r="F172" s="45"/>
      <c r="G172" s="45"/>
      <c r="H172" s="33"/>
      <c r="I172" s="33"/>
      <c r="J172" s="33"/>
      <c r="K172" s="33"/>
      <c r="L172" s="33"/>
      <c r="M172" s="33"/>
      <c r="N172" s="33"/>
      <c r="O172" s="33"/>
      <c r="P172" s="33"/>
      <c r="Q172" s="114"/>
    </row>
    <row r="173" spans="1:17" ht="15.75" customHeight="1">
      <c r="A173" s="134"/>
      <c r="B173" s="45"/>
      <c r="C173" s="45"/>
      <c r="D173" s="45"/>
      <c r="E173" s="45"/>
      <c r="F173" s="45"/>
      <c r="G173" s="45"/>
      <c r="H173" s="33"/>
      <c r="I173" s="33"/>
      <c r="J173" s="33"/>
      <c r="K173" s="33"/>
      <c r="L173" s="33"/>
      <c r="M173" s="33"/>
      <c r="N173" s="33"/>
      <c r="O173" s="33"/>
      <c r="P173" s="33"/>
      <c r="Q173" s="114"/>
    </row>
    <row r="174" spans="1:17" ht="15.75" customHeight="1">
      <c r="A174" s="134"/>
      <c r="B174" s="45"/>
      <c r="C174" s="45"/>
      <c r="D174" s="45"/>
      <c r="E174" s="45"/>
      <c r="F174" s="45"/>
      <c r="G174" s="45"/>
      <c r="H174" s="33"/>
      <c r="I174" s="33"/>
      <c r="J174" s="33"/>
      <c r="K174" s="33"/>
      <c r="L174" s="33"/>
      <c r="M174" s="33"/>
      <c r="N174" s="33"/>
      <c r="O174" s="33"/>
      <c r="P174" s="33"/>
      <c r="Q174" s="114"/>
    </row>
    <row r="175" spans="1:17" ht="15.75" customHeight="1">
      <c r="A175" s="134"/>
      <c r="B175" s="45"/>
      <c r="C175" s="45"/>
      <c r="D175" s="45"/>
      <c r="E175" s="45"/>
      <c r="F175" s="45"/>
      <c r="G175" s="45"/>
      <c r="H175" s="33"/>
      <c r="I175" s="33"/>
      <c r="J175" s="33"/>
      <c r="K175" s="33"/>
      <c r="L175" s="33"/>
      <c r="M175" s="33"/>
      <c r="N175" s="33"/>
      <c r="O175" s="33"/>
      <c r="P175" s="33"/>
      <c r="Q175" s="114"/>
    </row>
    <row r="176" spans="1:17" ht="15.75" customHeight="1">
      <c r="A176" s="134"/>
      <c r="B176" s="45"/>
      <c r="C176" s="45"/>
      <c r="D176" s="45"/>
      <c r="E176" s="45"/>
      <c r="F176" s="45"/>
      <c r="G176" s="45"/>
      <c r="H176" s="33"/>
      <c r="I176" s="33"/>
      <c r="J176" s="33"/>
      <c r="K176" s="33"/>
      <c r="L176" s="33"/>
      <c r="M176" s="33"/>
      <c r="N176" s="33"/>
      <c r="O176" s="33"/>
      <c r="P176" s="33"/>
      <c r="Q176" s="114"/>
    </row>
    <row r="177" spans="1:17" ht="15.75" customHeight="1">
      <c r="A177" s="134"/>
      <c r="B177" s="45"/>
      <c r="C177" s="45"/>
      <c r="D177" s="45"/>
      <c r="E177" s="45"/>
      <c r="F177" s="45"/>
      <c r="G177" s="45"/>
      <c r="H177" s="33"/>
      <c r="I177" s="33"/>
      <c r="J177" s="33"/>
      <c r="K177" s="33"/>
      <c r="L177" s="33"/>
      <c r="M177" s="33"/>
      <c r="N177" s="33"/>
      <c r="O177" s="33"/>
      <c r="P177" s="33"/>
      <c r="Q177" s="114"/>
    </row>
    <row r="178" spans="1:17" ht="15.75" customHeight="1">
      <c r="A178" s="134"/>
      <c r="B178" s="45"/>
      <c r="C178" s="45"/>
      <c r="D178" s="45"/>
      <c r="E178" s="45"/>
      <c r="F178" s="45"/>
      <c r="G178" s="45"/>
      <c r="H178" s="33"/>
      <c r="I178" s="33"/>
      <c r="J178" s="33"/>
      <c r="K178" s="33"/>
      <c r="L178" s="33"/>
      <c r="M178" s="33"/>
      <c r="N178" s="33"/>
      <c r="O178" s="33"/>
      <c r="P178" s="33"/>
      <c r="Q178" s="114"/>
    </row>
    <row r="179" spans="1:17" ht="15.75" customHeight="1">
      <c r="A179" s="134"/>
      <c r="B179" s="45"/>
      <c r="C179" s="45"/>
      <c r="D179" s="45"/>
      <c r="E179" s="45"/>
      <c r="F179" s="45"/>
      <c r="G179" s="45"/>
      <c r="H179" s="33"/>
      <c r="I179" s="33"/>
      <c r="J179" s="33"/>
      <c r="K179" s="33"/>
      <c r="L179" s="33"/>
      <c r="M179" s="33"/>
      <c r="N179" s="33"/>
      <c r="O179" s="33"/>
      <c r="P179" s="33"/>
      <c r="Q179" s="114"/>
    </row>
    <row r="180" spans="1:17" ht="15.75" customHeight="1">
      <c r="A180" s="134"/>
      <c r="B180" s="45"/>
      <c r="C180" s="45"/>
      <c r="D180" s="45"/>
      <c r="E180" s="45"/>
      <c r="F180" s="45"/>
      <c r="G180" s="45"/>
      <c r="H180" s="33"/>
      <c r="I180" s="33"/>
      <c r="J180" s="33"/>
      <c r="K180" s="33"/>
      <c r="L180" s="33"/>
      <c r="M180" s="33"/>
      <c r="N180" s="33"/>
      <c r="O180" s="33"/>
      <c r="P180" s="33"/>
      <c r="Q180" s="114"/>
    </row>
    <row r="181" spans="1:17" ht="15.75" customHeight="1">
      <c r="A181" s="134"/>
      <c r="B181" s="45"/>
      <c r="C181" s="45"/>
      <c r="D181" s="45"/>
      <c r="E181" s="45"/>
      <c r="F181" s="45"/>
      <c r="G181" s="45"/>
      <c r="H181" s="33"/>
      <c r="I181" s="33"/>
      <c r="J181" s="33"/>
      <c r="K181" s="33"/>
      <c r="L181" s="33"/>
      <c r="M181" s="33"/>
      <c r="N181" s="33"/>
      <c r="O181" s="33"/>
      <c r="P181" s="33"/>
      <c r="Q181" s="114"/>
    </row>
    <row r="182" spans="1:17" ht="15.75" customHeight="1">
      <c r="A182" s="134"/>
      <c r="B182" s="45"/>
      <c r="C182" s="45"/>
      <c r="D182" s="45"/>
      <c r="E182" s="45"/>
      <c r="F182" s="45"/>
      <c r="G182" s="45"/>
      <c r="H182" s="33"/>
      <c r="I182" s="33"/>
      <c r="J182" s="33"/>
      <c r="K182" s="33"/>
      <c r="L182" s="33"/>
      <c r="M182" s="33"/>
      <c r="N182" s="33"/>
      <c r="O182" s="33"/>
      <c r="P182" s="33"/>
      <c r="Q182" s="114"/>
    </row>
    <row r="183" spans="1:17" ht="15.75" customHeight="1">
      <c r="A183" s="134"/>
      <c r="B183" s="45"/>
      <c r="C183" s="45"/>
      <c r="D183" s="45"/>
      <c r="E183" s="45"/>
      <c r="F183" s="45"/>
      <c r="G183" s="45"/>
      <c r="H183" s="33"/>
      <c r="I183" s="33"/>
      <c r="J183" s="33"/>
      <c r="K183" s="33"/>
      <c r="L183" s="33"/>
      <c r="M183" s="33"/>
      <c r="N183" s="33"/>
      <c r="O183" s="33"/>
      <c r="P183" s="33"/>
      <c r="Q183" s="114"/>
    </row>
    <row r="184" spans="1:17" ht="15.75" customHeight="1">
      <c r="A184" s="134"/>
      <c r="B184" s="45"/>
      <c r="C184" s="45"/>
      <c r="D184" s="45"/>
      <c r="E184" s="45"/>
      <c r="F184" s="45"/>
      <c r="G184" s="45"/>
      <c r="H184" s="33"/>
      <c r="I184" s="33"/>
      <c r="J184" s="33"/>
      <c r="K184" s="33"/>
      <c r="L184" s="33"/>
      <c r="M184" s="33"/>
      <c r="N184" s="33"/>
      <c r="O184" s="33"/>
      <c r="P184" s="33"/>
      <c r="Q184" s="114"/>
    </row>
    <row r="185" spans="1:17" ht="15.75" customHeight="1">
      <c r="A185" s="134"/>
      <c r="B185" s="45"/>
      <c r="C185" s="45"/>
      <c r="D185" s="45"/>
      <c r="E185" s="45"/>
      <c r="F185" s="45"/>
      <c r="G185" s="45"/>
      <c r="H185" s="33"/>
      <c r="I185" s="33"/>
      <c r="J185" s="33"/>
      <c r="K185" s="33"/>
      <c r="L185" s="33"/>
      <c r="M185" s="33"/>
      <c r="N185" s="33"/>
      <c r="O185" s="33"/>
      <c r="P185" s="33"/>
      <c r="Q185" s="114"/>
    </row>
    <row r="186" spans="1:17" ht="15.75" customHeight="1">
      <c r="A186" s="134"/>
      <c r="B186" s="45"/>
      <c r="C186" s="45"/>
      <c r="D186" s="45"/>
      <c r="E186" s="45"/>
      <c r="F186" s="45"/>
      <c r="G186" s="45"/>
      <c r="H186" s="33"/>
      <c r="I186" s="33"/>
      <c r="J186" s="33"/>
      <c r="K186" s="33"/>
      <c r="L186" s="33"/>
      <c r="M186" s="33"/>
      <c r="N186" s="33"/>
      <c r="O186" s="33"/>
      <c r="P186" s="33"/>
      <c r="Q186" s="114"/>
    </row>
    <row r="187" spans="1:17" ht="15.75" customHeight="1">
      <c r="A187" s="134"/>
      <c r="B187" s="45"/>
      <c r="C187" s="45"/>
      <c r="D187" s="45"/>
      <c r="E187" s="45"/>
      <c r="F187" s="45"/>
      <c r="G187" s="45"/>
      <c r="H187" s="33"/>
      <c r="I187" s="33"/>
      <c r="J187" s="33"/>
      <c r="K187" s="33"/>
      <c r="L187" s="33"/>
      <c r="M187" s="33"/>
      <c r="N187" s="33"/>
      <c r="O187" s="33"/>
      <c r="P187" s="33"/>
      <c r="Q187" s="114"/>
    </row>
    <row r="188" spans="1:17" ht="15.75" customHeight="1">
      <c r="A188" s="134"/>
      <c r="B188" s="45"/>
      <c r="C188" s="45"/>
      <c r="D188" s="45"/>
      <c r="E188" s="45"/>
      <c r="F188" s="45"/>
      <c r="G188" s="45"/>
      <c r="H188" s="33"/>
      <c r="I188" s="33"/>
      <c r="J188" s="33"/>
      <c r="K188" s="33"/>
      <c r="L188" s="33"/>
      <c r="M188" s="33"/>
      <c r="N188" s="33"/>
      <c r="O188" s="33"/>
      <c r="P188" s="33"/>
      <c r="Q188" s="114"/>
    </row>
    <row r="189" spans="1:17" ht="15.75" customHeight="1">
      <c r="A189" s="134"/>
      <c r="B189" s="45"/>
      <c r="C189" s="45"/>
      <c r="D189" s="45"/>
      <c r="E189" s="45"/>
      <c r="F189" s="45"/>
      <c r="G189" s="45"/>
      <c r="H189" s="33"/>
      <c r="I189" s="33"/>
      <c r="J189" s="33"/>
      <c r="K189" s="33"/>
      <c r="L189" s="33"/>
      <c r="M189" s="33"/>
      <c r="N189" s="33"/>
      <c r="O189" s="33"/>
      <c r="P189" s="33"/>
      <c r="Q189" s="114"/>
    </row>
    <row r="190" spans="1:17" ht="15.75" customHeight="1">
      <c r="A190" s="134"/>
      <c r="B190" s="45"/>
      <c r="C190" s="45"/>
      <c r="D190" s="45"/>
      <c r="E190" s="45"/>
      <c r="F190" s="45"/>
      <c r="G190" s="45"/>
      <c r="H190" s="33"/>
      <c r="I190" s="33"/>
      <c r="J190" s="33"/>
      <c r="K190" s="33"/>
      <c r="L190" s="33"/>
      <c r="M190" s="33"/>
      <c r="N190" s="33"/>
      <c r="O190" s="33"/>
      <c r="P190" s="33"/>
      <c r="Q190" s="114"/>
    </row>
    <row r="191" spans="1:17" ht="15.75" customHeight="1">
      <c r="A191" s="134"/>
      <c r="B191" s="45"/>
      <c r="C191" s="45"/>
      <c r="D191" s="45"/>
      <c r="E191" s="45"/>
      <c r="F191" s="45"/>
      <c r="G191" s="45"/>
      <c r="H191" s="33"/>
      <c r="I191" s="33"/>
      <c r="J191" s="33"/>
      <c r="K191" s="33"/>
      <c r="L191" s="33"/>
      <c r="M191" s="33"/>
      <c r="N191" s="33"/>
      <c r="O191" s="33"/>
      <c r="P191" s="33"/>
      <c r="Q191" s="114"/>
    </row>
    <row r="192" spans="1:17" ht="15.75" customHeight="1">
      <c r="A192" s="134"/>
      <c r="B192" s="45"/>
      <c r="C192" s="45"/>
      <c r="D192" s="45"/>
      <c r="E192" s="45"/>
      <c r="F192" s="45"/>
      <c r="G192" s="45"/>
      <c r="H192" s="33"/>
      <c r="I192" s="33"/>
      <c r="J192" s="33"/>
      <c r="K192" s="33"/>
      <c r="L192" s="33"/>
      <c r="M192" s="33"/>
      <c r="N192" s="33"/>
      <c r="O192" s="33"/>
      <c r="P192" s="33"/>
      <c r="Q192" s="114"/>
    </row>
    <row r="193" spans="1:17" ht="15.75" customHeight="1">
      <c r="A193" s="134"/>
      <c r="B193" s="45"/>
      <c r="C193" s="45"/>
      <c r="D193" s="45"/>
      <c r="E193" s="45"/>
      <c r="F193" s="45"/>
      <c r="G193" s="45"/>
      <c r="H193" s="33"/>
      <c r="I193" s="33"/>
      <c r="J193" s="33"/>
      <c r="K193" s="33"/>
      <c r="L193" s="33"/>
      <c r="M193" s="33"/>
      <c r="N193" s="33"/>
      <c r="O193" s="33"/>
      <c r="P193" s="33"/>
      <c r="Q193" s="114"/>
    </row>
    <row r="194" spans="1:17" ht="15.75" customHeight="1">
      <c r="A194" s="134"/>
      <c r="B194" s="45"/>
      <c r="C194" s="45"/>
      <c r="D194" s="45"/>
      <c r="E194" s="45"/>
      <c r="F194" s="45"/>
      <c r="G194" s="45"/>
      <c r="H194" s="33"/>
      <c r="I194" s="33"/>
      <c r="J194" s="33"/>
      <c r="K194" s="33"/>
      <c r="L194" s="33"/>
      <c r="M194" s="33"/>
      <c r="N194" s="33"/>
      <c r="O194" s="33"/>
      <c r="P194" s="33"/>
      <c r="Q194" s="114"/>
    </row>
    <row r="195" spans="1:17" ht="15.75" customHeight="1">
      <c r="A195" s="134"/>
      <c r="B195" s="45"/>
      <c r="C195" s="45"/>
      <c r="D195" s="45"/>
      <c r="E195" s="45"/>
      <c r="F195" s="45"/>
      <c r="G195" s="45"/>
      <c r="H195" s="33"/>
      <c r="I195" s="33"/>
      <c r="J195" s="33"/>
      <c r="K195" s="33"/>
      <c r="L195" s="33"/>
      <c r="M195" s="33"/>
      <c r="N195" s="33"/>
      <c r="O195" s="33"/>
      <c r="P195" s="33"/>
      <c r="Q195" s="114"/>
    </row>
    <row r="196" spans="1:17" ht="15.75" customHeight="1">
      <c r="A196" s="134"/>
      <c r="B196" s="45"/>
      <c r="C196" s="45"/>
      <c r="D196" s="45"/>
      <c r="E196" s="45"/>
      <c r="F196" s="45"/>
      <c r="G196" s="45"/>
      <c r="H196" s="33"/>
      <c r="I196" s="33"/>
      <c r="J196" s="33"/>
      <c r="K196" s="33"/>
      <c r="L196" s="33"/>
      <c r="M196" s="33"/>
      <c r="N196" s="33"/>
      <c r="O196" s="33"/>
      <c r="P196" s="33"/>
      <c r="Q196" s="114"/>
    </row>
    <row r="197" spans="1:17" ht="15.75" customHeight="1">
      <c r="A197" s="134"/>
      <c r="B197" s="45"/>
      <c r="C197" s="45"/>
      <c r="D197" s="45"/>
      <c r="E197" s="45"/>
      <c r="F197" s="45"/>
      <c r="G197" s="45"/>
      <c r="H197" s="33"/>
      <c r="I197" s="33"/>
      <c r="J197" s="33"/>
      <c r="K197" s="33"/>
      <c r="L197" s="33"/>
      <c r="M197" s="33"/>
      <c r="N197" s="33"/>
      <c r="O197" s="33"/>
      <c r="P197" s="33"/>
      <c r="Q197" s="114"/>
    </row>
    <row r="198" spans="1:17" ht="15.75" customHeight="1">
      <c r="A198" s="134"/>
      <c r="B198" s="45"/>
      <c r="C198" s="45"/>
      <c r="D198" s="45"/>
      <c r="E198" s="45"/>
      <c r="F198" s="45"/>
      <c r="G198" s="45"/>
      <c r="H198" s="33"/>
      <c r="I198" s="33"/>
      <c r="J198" s="33"/>
      <c r="K198" s="33"/>
      <c r="L198" s="33"/>
      <c r="M198" s="33"/>
      <c r="N198" s="33"/>
      <c r="O198" s="33"/>
      <c r="P198" s="33"/>
      <c r="Q198" s="114"/>
    </row>
    <row r="199" spans="1:17" ht="15.75" customHeight="1">
      <c r="A199" s="134"/>
      <c r="B199" s="45"/>
      <c r="C199" s="45"/>
      <c r="D199" s="45"/>
      <c r="E199" s="45"/>
      <c r="F199" s="45"/>
      <c r="G199" s="45"/>
      <c r="H199" s="33"/>
      <c r="I199" s="33"/>
      <c r="J199" s="33"/>
      <c r="K199" s="33"/>
      <c r="L199" s="33"/>
      <c r="M199" s="33"/>
      <c r="N199" s="33"/>
      <c r="O199" s="33"/>
      <c r="P199" s="33"/>
      <c r="Q199" s="114"/>
    </row>
    <row r="200" spans="1:17" ht="15.75" customHeight="1">
      <c r="A200" s="134"/>
      <c r="B200" s="45"/>
      <c r="C200" s="45"/>
      <c r="D200" s="45"/>
      <c r="E200" s="45"/>
      <c r="F200" s="45"/>
      <c r="G200" s="45"/>
      <c r="H200" s="33"/>
      <c r="I200" s="33"/>
      <c r="J200" s="33"/>
      <c r="K200" s="33"/>
      <c r="L200" s="33"/>
      <c r="M200" s="33"/>
      <c r="N200" s="33"/>
      <c r="O200" s="33"/>
      <c r="P200" s="33"/>
      <c r="Q200" s="114"/>
    </row>
    <row r="201" spans="1:17" ht="15.75" customHeight="1">
      <c r="A201" s="134"/>
      <c r="B201" s="45"/>
      <c r="C201" s="45"/>
      <c r="D201" s="45"/>
      <c r="E201" s="45"/>
      <c r="F201" s="45"/>
      <c r="G201" s="45"/>
      <c r="H201" s="33"/>
      <c r="I201" s="33"/>
      <c r="J201" s="33"/>
      <c r="K201" s="33"/>
      <c r="L201" s="33"/>
      <c r="M201" s="33"/>
      <c r="N201" s="33"/>
      <c r="O201" s="33"/>
      <c r="P201" s="33"/>
      <c r="Q201" s="114"/>
    </row>
    <row r="202" spans="1:17" ht="15.75" customHeight="1">
      <c r="A202" s="134"/>
      <c r="B202" s="45"/>
      <c r="C202" s="45"/>
      <c r="D202" s="45"/>
      <c r="E202" s="45"/>
      <c r="F202" s="45"/>
      <c r="G202" s="45"/>
      <c r="H202" s="33"/>
      <c r="I202" s="33"/>
      <c r="J202" s="33"/>
      <c r="K202" s="33"/>
      <c r="L202" s="33"/>
      <c r="M202" s="33"/>
      <c r="N202" s="33"/>
      <c r="O202" s="33"/>
      <c r="P202" s="33"/>
      <c r="Q202" s="114"/>
    </row>
    <row r="203" spans="1:17" ht="15.75" customHeight="1">
      <c r="A203" s="134"/>
      <c r="B203" s="45"/>
      <c r="C203" s="45"/>
      <c r="D203" s="45"/>
      <c r="E203" s="45"/>
      <c r="F203" s="45"/>
      <c r="G203" s="45"/>
      <c r="H203" s="33"/>
      <c r="I203" s="33"/>
      <c r="J203" s="33"/>
      <c r="K203" s="33"/>
      <c r="L203" s="33"/>
      <c r="M203" s="33"/>
      <c r="N203" s="33"/>
      <c r="O203" s="33"/>
      <c r="P203" s="33"/>
      <c r="Q203" s="114"/>
    </row>
    <row r="204" spans="1:17" ht="15.75" customHeight="1">
      <c r="A204" s="134"/>
      <c r="B204" s="45"/>
      <c r="C204" s="45"/>
      <c r="D204" s="45"/>
      <c r="E204" s="45"/>
      <c r="F204" s="45"/>
      <c r="G204" s="45"/>
      <c r="H204" s="33"/>
      <c r="I204" s="33"/>
      <c r="J204" s="33"/>
      <c r="K204" s="33"/>
      <c r="L204" s="33"/>
      <c r="M204" s="33"/>
      <c r="N204" s="33"/>
      <c r="O204" s="33"/>
      <c r="P204" s="33"/>
      <c r="Q204" s="114"/>
    </row>
    <row r="205" spans="1:17" ht="15.75" customHeight="1">
      <c r="A205" s="134"/>
      <c r="B205" s="45"/>
      <c r="C205" s="45"/>
      <c r="D205" s="45"/>
      <c r="E205" s="45"/>
      <c r="F205" s="45"/>
      <c r="G205" s="45"/>
      <c r="H205" s="33"/>
      <c r="I205" s="33"/>
      <c r="J205" s="33"/>
      <c r="K205" s="33"/>
      <c r="L205" s="33"/>
      <c r="M205" s="33"/>
      <c r="N205" s="33"/>
      <c r="O205" s="33"/>
      <c r="P205" s="33"/>
      <c r="Q205" s="114"/>
    </row>
    <row r="206" spans="1:17" ht="15.75" customHeight="1">
      <c r="A206" s="134"/>
      <c r="B206" s="45"/>
      <c r="C206" s="45"/>
      <c r="D206" s="45"/>
      <c r="E206" s="45"/>
      <c r="F206" s="45"/>
      <c r="G206" s="45"/>
      <c r="H206" s="33"/>
      <c r="I206" s="33"/>
      <c r="J206" s="33"/>
      <c r="K206" s="33"/>
      <c r="L206" s="33"/>
      <c r="M206" s="33"/>
      <c r="N206" s="33"/>
      <c r="O206" s="33"/>
      <c r="P206" s="33"/>
      <c r="Q206" s="114"/>
    </row>
    <row r="207" spans="1:17" ht="15.75" customHeight="1">
      <c r="A207" s="134"/>
      <c r="B207" s="45"/>
      <c r="C207" s="45"/>
      <c r="D207" s="45"/>
      <c r="E207" s="45"/>
      <c r="F207" s="45"/>
      <c r="G207" s="45"/>
      <c r="H207" s="33"/>
      <c r="I207" s="33"/>
      <c r="J207" s="33"/>
      <c r="K207" s="33"/>
      <c r="L207" s="33"/>
      <c r="M207" s="33"/>
      <c r="N207" s="33"/>
      <c r="O207" s="33"/>
      <c r="P207" s="33"/>
      <c r="Q207" s="114"/>
    </row>
    <row r="208" spans="1:17" ht="15.75" customHeight="1">
      <c r="A208" s="134"/>
      <c r="B208" s="45"/>
      <c r="C208" s="45"/>
      <c r="D208" s="45"/>
      <c r="E208" s="45"/>
      <c r="F208" s="45"/>
      <c r="G208" s="45"/>
      <c r="H208" s="33"/>
      <c r="I208" s="33"/>
      <c r="J208" s="33"/>
      <c r="K208" s="33"/>
      <c r="L208" s="33"/>
      <c r="M208" s="33"/>
      <c r="N208" s="33"/>
      <c r="O208" s="33"/>
      <c r="P208" s="33"/>
      <c r="Q208" s="114"/>
    </row>
    <row r="209" spans="1:17" ht="15.75" customHeight="1">
      <c r="A209" s="134"/>
      <c r="B209" s="45"/>
      <c r="C209" s="45"/>
      <c r="D209" s="45"/>
      <c r="E209" s="45"/>
      <c r="F209" s="45"/>
      <c r="G209" s="45"/>
      <c r="H209" s="33"/>
      <c r="I209" s="33"/>
      <c r="J209" s="33"/>
      <c r="K209" s="33"/>
      <c r="L209" s="33"/>
      <c r="M209" s="33"/>
      <c r="N209" s="33"/>
      <c r="O209" s="33"/>
      <c r="P209" s="33"/>
      <c r="Q209" s="114"/>
    </row>
    <row r="210" spans="1:17" ht="15.75" customHeight="1">
      <c r="A210" s="134"/>
      <c r="B210" s="45"/>
      <c r="C210" s="45"/>
      <c r="D210" s="45"/>
      <c r="E210" s="45"/>
      <c r="F210" s="45"/>
      <c r="G210" s="45"/>
      <c r="H210" s="33"/>
      <c r="I210" s="33"/>
      <c r="J210" s="33"/>
      <c r="K210" s="33"/>
      <c r="L210" s="33"/>
      <c r="M210" s="33"/>
      <c r="N210" s="33"/>
      <c r="O210" s="33"/>
      <c r="P210" s="33"/>
      <c r="Q210" s="114"/>
    </row>
    <row r="211" spans="1:17" ht="15.75" customHeight="1">
      <c r="A211" s="134"/>
      <c r="B211" s="45"/>
      <c r="C211" s="45"/>
      <c r="D211" s="45"/>
      <c r="E211" s="45"/>
      <c r="F211" s="45"/>
      <c r="G211" s="45"/>
      <c r="H211" s="33"/>
      <c r="I211" s="33"/>
      <c r="J211" s="33"/>
      <c r="K211" s="33"/>
      <c r="L211" s="33"/>
      <c r="M211" s="33"/>
      <c r="N211" s="33"/>
      <c r="O211" s="33"/>
      <c r="P211" s="33"/>
      <c r="Q211" s="114"/>
    </row>
    <row r="212" spans="1:17" ht="15.75" customHeight="1">
      <c r="A212" s="134"/>
      <c r="B212" s="45"/>
      <c r="C212" s="45"/>
      <c r="D212" s="45"/>
      <c r="E212" s="45"/>
      <c r="F212" s="45"/>
      <c r="G212" s="45"/>
      <c r="H212" s="33"/>
      <c r="I212" s="33"/>
      <c r="J212" s="33"/>
      <c r="K212" s="33"/>
      <c r="L212" s="33"/>
      <c r="M212" s="33"/>
      <c r="N212" s="33"/>
      <c r="O212" s="33"/>
      <c r="P212" s="33"/>
      <c r="Q212" s="114"/>
    </row>
    <row r="213" spans="1:17" ht="15.75" customHeight="1">
      <c r="A213" s="134"/>
      <c r="B213" s="45"/>
      <c r="C213" s="45"/>
      <c r="D213" s="45"/>
      <c r="E213" s="45"/>
      <c r="F213" s="45"/>
      <c r="G213" s="45"/>
      <c r="H213" s="33"/>
      <c r="I213" s="33"/>
      <c r="J213" s="33"/>
      <c r="K213" s="33"/>
      <c r="L213" s="33"/>
      <c r="M213" s="33"/>
      <c r="N213" s="33"/>
      <c r="O213" s="33"/>
      <c r="P213" s="33"/>
      <c r="Q213" s="114"/>
    </row>
    <row r="214" spans="1:17" ht="15.75" customHeight="1">
      <c r="A214" s="134"/>
      <c r="B214" s="45"/>
      <c r="C214" s="45"/>
      <c r="D214" s="45"/>
      <c r="E214" s="45"/>
      <c r="F214" s="45"/>
      <c r="G214" s="45"/>
      <c r="H214" s="33"/>
      <c r="I214" s="33"/>
      <c r="J214" s="33"/>
      <c r="K214" s="33"/>
      <c r="L214" s="33"/>
      <c r="M214" s="33"/>
      <c r="N214" s="33"/>
      <c r="O214" s="33"/>
      <c r="P214" s="33"/>
      <c r="Q214" s="114"/>
    </row>
    <row r="215" spans="1:17" ht="15.75" customHeight="1">
      <c r="A215" s="134"/>
      <c r="B215" s="45"/>
      <c r="C215" s="45"/>
      <c r="D215" s="45"/>
      <c r="E215" s="45"/>
      <c r="F215" s="45"/>
      <c r="G215" s="45"/>
      <c r="H215" s="33"/>
      <c r="I215" s="33"/>
      <c r="J215" s="33"/>
      <c r="K215" s="33"/>
      <c r="L215" s="33"/>
      <c r="M215" s="33"/>
      <c r="N215" s="33"/>
      <c r="O215" s="33"/>
      <c r="P215" s="33"/>
      <c r="Q215" s="114"/>
    </row>
    <row r="216" spans="1:17" ht="15.75" customHeight="1">
      <c r="A216" s="134"/>
      <c r="B216" s="45"/>
      <c r="C216" s="45"/>
      <c r="D216" s="45"/>
      <c r="E216" s="45"/>
      <c r="F216" s="45"/>
      <c r="G216" s="45"/>
      <c r="H216" s="33"/>
      <c r="I216" s="33"/>
      <c r="J216" s="33"/>
      <c r="K216" s="33"/>
      <c r="L216" s="33"/>
      <c r="M216" s="33"/>
      <c r="N216" s="33"/>
      <c r="O216" s="33"/>
      <c r="P216" s="33"/>
      <c r="Q216" s="114"/>
    </row>
    <row r="217" spans="1:17" ht="15.75" customHeight="1">
      <c r="A217" s="134"/>
      <c r="B217" s="45"/>
      <c r="C217" s="45"/>
      <c r="D217" s="45"/>
      <c r="E217" s="45"/>
      <c r="F217" s="45"/>
      <c r="G217" s="45"/>
      <c r="H217" s="33"/>
      <c r="I217" s="33"/>
      <c r="J217" s="33"/>
      <c r="K217" s="33"/>
      <c r="L217" s="33"/>
      <c r="M217" s="33"/>
      <c r="N217" s="33"/>
      <c r="O217" s="33"/>
      <c r="P217" s="33"/>
      <c r="Q217" s="114"/>
    </row>
    <row r="218" spans="1:17" ht="15.75" customHeight="1">
      <c r="A218" s="134"/>
      <c r="B218" s="45"/>
      <c r="C218" s="45"/>
      <c r="D218" s="45"/>
      <c r="E218" s="45"/>
      <c r="F218" s="45"/>
      <c r="G218" s="45"/>
      <c r="H218" s="33"/>
      <c r="I218" s="33"/>
      <c r="J218" s="33"/>
      <c r="K218" s="33"/>
      <c r="L218" s="33"/>
      <c r="M218" s="33"/>
      <c r="N218" s="33"/>
      <c r="O218" s="33"/>
      <c r="P218" s="33"/>
      <c r="Q218" s="114"/>
    </row>
    <row r="219" spans="1:17" ht="15.75" customHeight="1">
      <c r="A219" s="134"/>
      <c r="B219" s="45"/>
      <c r="C219" s="45"/>
      <c r="D219" s="45"/>
      <c r="E219" s="45"/>
      <c r="F219" s="45"/>
      <c r="G219" s="45"/>
      <c r="H219" s="33"/>
      <c r="I219" s="33"/>
      <c r="J219" s="33"/>
      <c r="K219" s="33"/>
      <c r="L219" s="33"/>
      <c r="M219" s="33"/>
      <c r="N219" s="33"/>
      <c r="O219" s="33"/>
      <c r="P219" s="33"/>
      <c r="Q219" s="114"/>
    </row>
    <row r="220" spans="1:17" ht="15.75" customHeight="1">
      <c r="A220" s="134"/>
      <c r="B220" s="45"/>
      <c r="C220" s="45"/>
      <c r="D220" s="45"/>
      <c r="E220" s="45"/>
      <c r="F220" s="45"/>
      <c r="G220" s="45"/>
      <c r="H220" s="33"/>
      <c r="I220" s="33"/>
      <c r="J220" s="33"/>
      <c r="K220" s="33"/>
      <c r="L220" s="33"/>
      <c r="M220" s="33"/>
      <c r="N220" s="33"/>
      <c r="O220" s="33"/>
      <c r="P220" s="33"/>
      <c r="Q220" s="114"/>
    </row>
    <row r="221" spans="1:17" ht="15.75" customHeight="1">
      <c r="A221" s="134"/>
      <c r="B221" s="45"/>
      <c r="C221" s="45"/>
      <c r="D221" s="45"/>
      <c r="E221" s="45"/>
      <c r="F221" s="45"/>
      <c r="G221" s="45"/>
      <c r="H221" s="33"/>
      <c r="I221" s="33"/>
      <c r="J221" s="33"/>
      <c r="K221" s="33"/>
      <c r="L221" s="33"/>
      <c r="M221" s="33"/>
      <c r="N221" s="33"/>
      <c r="O221" s="33"/>
      <c r="P221" s="33"/>
      <c r="Q221" s="114"/>
    </row>
    <row r="222" spans="1:17" ht="15.75" customHeight="1">
      <c r="A222" s="134"/>
      <c r="B222" s="45"/>
      <c r="C222" s="45"/>
      <c r="D222" s="45"/>
      <c r="E222" s="45"/>
      <c r="F222" s="45"/>
      <c r="G222" s="45"/>
      <c r="H222" s="33"/>
      <c r="I222" s="33"/>
      <c r="J222" s="33"/>
      <c r="K222" s="33"/>
      <c r="L222" s="33"/>
      <c r="M222" s="33"/>
      <c r="N222" s="33"/>
      <c r="O222" s="33"/>
      <c r="P222" s="33"/>
      <c r="Q222" s="114"/>
    </row>
    <row r="223" spans="1:17" ht="15.75" customHeight="1">
      <c r="A223" s="134"/>
      <c r="B223" s="45"/>
      <c r="C223" s="45"/>
      <c r="D223" s="45"/>
      <c r="E223" s="45"/>
      <c r="F223" s="45"/>
      <c r="G223" s="45"/>
      <c r="H223" s="33"/>
      <c r="I223" s="33"/>
      <c r="J223" s="33"/>
      <c r="K223" s="33"/>
      <c r="L223" s="33"/>
      <c r="M223" s="33"/>
      <c r="N223" s="33"/>
      <c r="O223" s="33"/>
      <c r="P223" s="33"/>
      <c r="Q223" s="114"/>
    </row>
    <row r="224" spans="1:17" ht="15.75" customHeight="1">
      <c r="A224" s="134"/>
      <c r="B224" s="45"/>
      <c r="C224" s="45"/>
      <c r="D224" s="45"/>
      <c r="E224" s="45"/>
      <c r="F224" s="45"/>
      <c r="G224" s="45"/>
      <c r="H224" s="33"/>
      <c r="I224" s="33"/>
      <c r="J224" s="33"/>
      <c r="K224" s="33"/>
      <c r="L224" s="33"/>
      <c r="M224" s="33"/>
      <c r="N224" s="33"/>
      <c r="O224" s="33"/>
      <c r="P224" s="33"/>
      <c r="Q224" s="114"/>
    </row>
    <row r="225" spans="1:17" ht="15.75" customHeight="1">
      <c r="A225" s="134"/>
      <c r="B225" s="45"/>
      <c r="C225" s="45"/>
      <c r="D225" s="45"/>
      <c r="E225" s="45"/>
      <c r="F225" s="45"/>
      <c r="G225" s="45"/>
      <c r="H225" s="33"/>
      <c r="I225" s="33"/>
      <c r="J225" s="33"/>
      <c r="K225" s="33"/>
      <c r="L225" s="33"/>
      <c r="M225" s="33"/>
      <c r="N225" s="33"/>
      <c r="O225" s="33"/>
      <c r="P225" s="33"/>
      <c r="Q225" s="114"/>
    </row>
    <row r="226" spans="1:17" ht="15.75" customHeight="1">
      <c r="A226" s="134"/>
      <c r="B226" s="45"/>
      <c r="C226" s="45"/>
      <c r="D226" s="45"/>
      <c r="E226" s="45"/>
      <c r="F226" s="45"/>
      <c r="G226" s="45"/>
      <c r="H226" s="33"/>
      <c r="I226" s="33"/>
      <c r="J226" s="33"/>
      <c r="K226" s="33"/>
      <c r="L226" s="33"/>
      <c r="M226" s="33"/>
      <c r="N226" s="33"/>
      <c r="O226" s="33"/>
      <c r="P226" s="33"/>
      <c r="Q226" s="114"/>
    </row>
    <row r="227" spans="1:17" ht="15.75" customHeight="1">
      <c r="A227" s="134"/>
      <c r="B227" s="45"/>
      <c r="C227" s="45"/>
      <c r="D227" s="45"/>
      <c r="E227" s="45"/>
      <c r="F227" s="45"/>
      <c r="G227" s="45"/>
      <c r="H227" s="33"/>
      <c r="I227" s="33"/>
      <c r="J227" s="33"/>
      <c r="K227" s="33"/>
      <c r="L227" s="33"/>
      <c r="M227" s="33"/>
      <c r="N227" s="33"/>
      <c r="O227" s="33"/>
      <c r="P227" s="33"/>
      <c r="Q227" s="114"/>
    </row>
    <row r="228" spans="1:17" ht="15.75" customHeight="1">
      <c r="A228" s="134"/>
      <c r="B228" s="45"/>
      <c r="C228" s="45"/>
      <c r="D228" s="45"/>
      <c r="E228" s="45"/>
      <c r="F228" s="45"/>
      <c r="G228" s="45"/>
      <c r="H228" s="33"/>
      <c r="I228" s="33"/>
      <c r="J228" s="33"/>
      <c r="K228" s="33"/>
      <c r="L228" s="33"/>
      <c r="M228" s="33"/>
      <c r="N228" s="33"/>
      <c r="O228" s="33"/>
      <c r="P228" s="33"/>
      <c r="Q228" s="114"/>
    </row>
    <row r="229" spans="1:17" ht="15.75" customHeight="1">
      <c r="A229" s="134"/>
      <c r="B229" s="45"/>
      <c r="C229" s="45"/>
      <c r="D229" s="45"/>
      <c r="E229" s="45"/>
      <c r="F229" s="45"/>
      <c r="G229" s="45"/>
      <c r="H229" s="33"/>
      <c r="I229" s="33"/>
      <c r="J229" s="33"/>
      <c r="K229" s="33"/>
      <c r="L229" s="33"/>
      <c r="M229" s="33"/>
      <c r="N229" s="33"/>
      <c r="O229" s="33"/>
      <c r="P229" s="33"/>
      <c r="Q229" s="114"/>
    </row>
    <row r="230" spans="1:17" ht="15.75" customHeight="1">
      <c r="A230" s="134"/>
      <c r="B230" s="45"/>
      <c r="C230" s="45"/>
      <c r="D230" s="45"/>
      <c r="E230" s="45"/>
      <c r="F230" s="45"/>
      <c r="G230" s="45"/>
      <c r="H230" s="33"/>
      <c r="I230" s="33"/>
      <c r="J230" s="33"/>
      <c r="K230" s="33"/>
      <c r="L230" s="33"/>
      <c r="M230" s="33"/>
      <c r="N230" s="33"/>
      <c r="O230" s="33"/>
      <c r="P230" s="33"/>
      <c r="Q230" s="114"/>
    </row>
    <row r="231" spans="1:17" ht="15.75" customHeight="1">
      <c r="A231" s="134"/>
      <c r="B231" s="45"/>
      <c r="C231" s="45"/>
      <c r="D231" s="45"/>
      <c r="E231" s="45"/>
      <c r="F231" s="45"/>
      <c r="G231" s="45"/>
      <c r="H231" s="135"/>
      <c r="I231" s="135"/>
      <c r="J231" s="135"/>
      <c r="K231" s="135"/>
      <c r="L231" s="135"/>
      <c r="M231" s="135"/>
      <c r="N231" s="135"/>
      <c r="O231" s="135"/>
      <c r="P231" s="135"/>
      <c r="Q231" s="114"/>
    </row>
    <row r="232" spans="1:17" ht="15.75" customHeight="1">
      <c r="A232" s="134"/>
      <c r="B232" s="45"/>
      <c r="C232" s="45"/>
      <c r="D232" s="45"/>
      <c r="E232" s="45"/>
      <c r="F232" s="45"/>
      <c r="G232" s="45"/>
      <c r="H232" s="135"/>
      <c r="I232" s="135"/>
      <c r="J232" s="135"/>
      <c r="K232" s="135"/>
      <c r="L232" s="135"/>
      <c r="M232" s="135"/>
      <c r="N232" s="135"/>
      <c r="O232" s="135"/>
      <c r="P232" s="135"/>
      <c r="Q232" s="114"/>
    </row>
    <row r="233" spans="1:17" ht="15.75" customHeight="1">
      <c r="A233" s="134"/>
      <c r="B233" s="45"/>
      <c r="C233" s="45"/>
      <c r="D233" s="45"/>
      <c r="E233" s="45"/>
      <c r="F233" s="45"/>
      <c r="G233" s="45"/>
      <c r="H233" s="135"/>
      <c r="I233" s="135"/>
      <c r="J233" s="135"/>
      <c r="K233" s="135"/>
      <c r="L233" s="135"/>
      <c r="M233" s="135"/>
      <c r="N233" s="135"/>
      <c r="O233" s="135"/>
      <c r="P233" s="135"/>
      <c r="Q233" s="114"/>
    </row>
    <row r="234" spans="1:17" ht="15.75" customHeight="1">
      <c r="A234" s="134"/>
      <c r="B234" s="45"/>
      <c r="C234" s="45"/>
      <c r="D234" s="45"/>
      <c r="E234" s="45"/>
      <c r="F234" s="45"/>
      <c r="G234" s="45"/>
      <c r="H234" s="135"/>
      <c r="I234" s="135"/>
      <c r="J234" s="135"/>
      <c r="K234" s="135"/>
      <c r="L234" s="135"/>
      <c r="M234" s="135"/>
      <c r="N234" s="135"/>
      <c r="O234" s="135"/>
      <c r="P234" s="135"/>
      <c r="Q234" s="114"/>
    </row>
    <row r="235" spans="1:17" ht="15.75" customHeight="1">
      <c r="A235" s="134"/>
      <c r="B235" s="45"/>
      <c r="C235" s="45"/>
      <c r="D235" s="45"/>
      <c r="E235" s="45"/>
      <c r="F235" s="45"/>
      <c r="G235" s="45"/>
      <c r="H235" s="135"/>
      <c r="I235" s="135"/>
      <c r="J235" s="135"/>
      <c r="K235" s="135"/>
      <c r="L235" s="135"/>
      <c r="M235" s="135"/>
      <c r="N235" s="135"/>
      <c r="O235" s="135"/>
      <c r="P235" s="135"/>
      <c r="Q235" s="114"/>
    </row>
    <row r="236" spans="1:17" ht="15.75" customHeight="1">
      <c r="A236" s="134"/>
      <c r="B236" s="45"/>
      <c r="C236" s="45"/>
      <c r="D236" s="45"/>
      <c r="E236" s="45"/>
      <c r="F236" s="45"/>
      <c r="G236" s="45"/>
      <c r="H236" s="135"/>
      <c r="I236" s="135"/>
      <c r="J236" s="135"/>
      <c r="K236" s="135"/>
      <c r="L236" s="135"/>
      <c r="M236" s="135"/>
      <c r="N236" s="135"/>
      <c r="O236" s="135"/>
      <c r="P236" s="135"/>
      <c r="Q236" s="114"/>
    </row>
    <row r="237" spans="1:17" ht="15.75" customHeight="1">
      <c r="A237" s="134"/>
      <c r="B237" s="45"/>
      <c r="C237" s="45"/>
      <c r="D237" s="45"/>
      <c r="E237" s="45"/>
      <c r="F237" s="45"/>
      <c r="G237" s="45"/>
      <c r="H237" s="135"/>
      <c r="I237" s="135"/>
      <c r="J237" s="135"/>
      <c r="K237" s="135"/>
      <c r="L237" s="135"/>
      <c r="M237" s="135"/>
      <c r="N237" s="135"/>
      <c r="O237" s="135"/>
      <c r="P237" s="135"/>
      <c r="Q237" s="114"/>
    </row>
    <row r="238" spans="1:17" ht="15.75" customHeight="1">
      <c r="A238" s="134"/>
      <c r="B238" s="45"/>
      <c r="C238" s="45"/>
      <c r="D238" s="45"/>
      <c r="E238" s="45"/>
      <c r="F238" s="45"/>
      <c r="G238" s="45"/>
      <c r="H238" s="135"/>
      <c r="I238" s="135"/>
      <c r="J238" s="135"/>
      <c r="K238" s="135"/>
      <c r="L238" s="135"/>
      <c r="M238" s="135"/>
      <c r="N238" s="135"/>
      <c r="O238" s="135"/>
      <c r="P238" s="135"/>
      <c r="Q238" s="114"/>
    </row>
    <row r="239" spans="1:17" ht="15.75" customHeight="1">
      <c r="A239" s="134"/>
      <c r="B239" s="45"/>
      <c r="C239" s="45"/>
      <c r="D239" s="45"/>
      <c r="E239" s="45"/>
      <c r="F239" s="45"/>
      <c r="G239" s="45"/>
      <c r="H239" s="135"/>
      <c r="I239" s="135"/>
      <c r="J239" s="135"/>
      <c r="K239" s="135"/>
      <c r="L239" s="135"/>
      <c r="M239" s="135"/>
      <c r="N239" s="135"/>
      <c r="O239" s="135"/>
      <c r="P239" s="135"/>
      <c r="Q239" s="114"/>
    </row>
    <row r="240" spans="1:17" ht="15.75" customHeight="1">
      <c r="A240" s="134"/>
      <c r="B240" s="45"/>
      <c r="C240" s="45"/>
      <c r="D240" s="45"/>
      <c r="E240" s="45"/>
      <c r="F240" s="45"/>
      <c r="G240" s="45"/>
      <c r="H240" s="135"/>
      <c r="I240" s="135"/>
      <c r="J240" s="135"/>
      <c r="K240" s="135"/>
      <c r="L240" s="135"/>
      <c r="M240" s="135"/>
      <c r="N240" s="135"/>
      <c r="O240" s="135"/>
      <c r="P240" s="135"/>
      <c r="Q240" s="114"/>
    </row>
    <row r="241" spans="1:17" ht="15.75" customHeight="1">
      <c r="A241" s="134"/>
      <c r="B241" s="45"/>
      <c r="C241" s="45"/>
      <c r="D241" s="45"/>
      <c r="E241" s="45"/>
      <c r="F241" s="45"/>
      <c r="G241" s="45"/>
      <c r="H241" s="135"/>
      <c r="I241" s="135"/>
      <c r="J241" s="135"/>
      <c r="K241" s="135"/>
      <c r="L241" s="135"/>
      <c r="M241" s="135"/>
      <c r="N241" s="135"/>
      <c r="O241" s="135"/>
      <c r="P241" s="135"/>
      <c r="Q241" s="114"/>
    </row>
    <row r="242" spans="1:17" ht="15.75" customHeight="1">
      <c r="A242" s="134"/>
      <c r="B242" s="45"/>
      <c r="C242" s="45"/>
      <c r="D242" s="45"/>
      <c r="E242" s="45"/>
      <c r="F242" s="45"/>
      <c r="G242" s="45"/>
      <c r="H242" s="135"/>
      <c r="I242" s="135"/>
      <c r="J242" s="135"/>
      <c r="K242" s="135"/>
      <c r="L242" s="135"/>
      <c r="M242" s="135"/>
      <c r="N242" s="135"/>
      <c r="O242" s="135"/>
      <c r="P242" s="135"/>
      <c r="Q242" s="114"/>
    </row>
    <row r="243" spans="1:17" ht="15.75" customHeight="1">
      <c r="A243" s="134"/>
      <c r="B243" s="45"/>
      <c r="C243" s="45"/>
      <c r="D243" s="45"/>
      <c r="E243" s="45"/>
      <c r="F243" s="45"/>
      <c r="G243" s="45"/>
      <c r="H243" s="135"/>
      <c r="I243" s="135"/>
      <c r="J243" s="135"/>
      <c r="K243" s="135"/>
      <c r="L243" s="135"/>
      <c r="M243" s="135"/>
      <c r="N243" s="135"/>
      <c r="O243" s="135"/>
      <c r="P243" s="135"/>
      <c r="Q243" s="114"/>
    </row>
    <row r="244" spans="1:17" ht="15.75" customHeight="1">
      <c r="A244" s="134"/>
      <c r="B244" s="45"/>
      <c r="C244" s="45"/>
      <c r="D244" s="45"/>
      <c r="E244" s="45"/>
      <c r="F244" s="45"/>
      <c r="G244" s="45"/>
      <c r="H244" s="135"/>
      <c r="I244" s="135"/>
      <c r="J244" s="135"/>
      <c r="K244" s="135"/>
      <c r="L244" s="135"/>
      <c r="M244" s="135"/>
      <c r="N244" s="135"/>
      <c r="O244" s="135"/>
      <c r="P244" s="135"/>
      <c r="Q244" s="114"/>
    </row>
    <row r="245" spans="1:17" ht="15.75" customHeight="1">
      <c r="A245" s="134"/>
      <c r="B245" s="45"/>
      <c r="C245" s="45"/>
      <c r="D245" s="45"/>
      <c r="E245" s="45"/>
      <c r="F245" s="45"/>
      <c r="G245" s="45"/>
      <c r="H245" s="135"/>
      <c r="I245" s="135"/>
      <c r="J245" s="135"/>
      <c r="K245" s="135"/>
      <c r="L245" s="135"/>
      <c r="M245" s="135"/>
      <c r="N245" s="135"/>
      <c r="O245" s="135"/>
      <c r="P245" s="135"/>
      <c r="Q245" s="114"/>
    </row>
    <row r="246" spans="1:17" ht="15.75" customHeight="1">
      <c r="A246" s="134"/>
      <c r="B246" s="45"/>
      <c r="C246" s="45"/>
      <c r="D246" s="45"/>
      <c r="E246" s="45"/>
      <c r="F246" s="45"/>
      <c r="G246" s="45"/>
      <c r="H246" s="135"/>
      <c r="I246" s="135"/>
      <c r="J246" s="135"/>
      <c r="K246" s="135"/>
      <c r="L246" s="135"/>
      <c r="M246" s="135"/>
      <c r="N246" s="135"/>
      <c r="O246" s="135"/>
      <c r="P246" s="135"/>
      <c r="Q246" s="114"/>
    </row>
    <row r="247" spans="1:17" ht="15.75" customHeight="1">
      <c r="A247" s="134"/>
      <c r="B247" s="45"/>
      <c r="C247" s="45"/>
      <c r="D247" s="45"/>
      <c r="E247" s="45"/>
      <c r="F247" s="45"/>
      <c r="G247" s="45"/>
      <c r="H247" s="135"/>
      <c r="I247" s="135"/>
      <c r="J247" s="135"/>
      <c r="K247" s="135"/>
      <c r="L247" s="135"/>
      <c r="M247" s="135"/>
      <c r="N247" s="135"/>
      <c r="O247" s="135"/>
      <c r="P247" s="135"/>
      <c r="Q247" s="114"/>
    </row>
    <row r="248" spans="1:17" ht="15.75" customHeight="1">
      <c r="A248" s="134"/>
      <c r="B248" s="45"/>
      <c r="C248" s="45"/>
      <c r="D248" s="45"/>
      <c r="E248" s="45"/>
      <c r="F248" s="45"/>
      <c r="G248" s="45"/>
      <c r="H248" s="135"/>
      <c r="I248" s="135"/>
      <c r="J248" s="135"/>
      <c r="K248" s="135"/>
      <c r="L248" s="135"/>
      <c r="M248" s="135"/>
      <c r="N248" s="135"/>
      <c r="O248" s="135"/>
      <c r="P248" s="135"/>
      <c r="Q248" s="114"/>
    </row>
    <row r="249" spans="1:17" ht="15.75" customHeight="1">
      <c r="A249" s="134"/>
      <c r="B249" s="45"/>
      <c r="C249" s="45"/>
      <c r="D249" s="45"/>
      <c r="E249" s="45"/>
      <c r="F249" s="45"/>
      <c r="G249" s="45"/>
      <c r="H249" s="135"/>
      <c r="I249" s="135"/>
      <c r="J249" s="135"/>
      <c r="K249" s="135"/>
      <c r="L249" s="135"/>
      <c r="M249" s="135"/>
      <c r="N249" s="135"/>
      <c r="O249" s="135"/>
      <c r="P249" s="135"/>
      <c r="Q249" s="114"/>
    </row>
    <row r="250" spans="1:17" ht="15.75" customHeight="1">
      <c r="A250" s="134"/>
      <c r="B250" s="45"/>
      <c r="C250" s="45"/>
      <c r="D250" s="45"/>
      <c r="E250" s="45"/>
      <c r="F250" s="45"/>
      <c r="G250" s="45"/>
      <c r="H250" s="135"/>
      <c r="I250" s="135"/>
      <c r="J250" s="135"/>
      <c r="K250" s="135"/>
      <c r="L250" s="135"/>
      <c r="M250" s="135"/>
      <c r="N250" s="135"/>
      <c r="O250" s="135"/>
      <c r="P250" s="135"/>
      <c r="Q250" s="114"/>
    </row>
    <row r="251" spans="1:17" ht="15.75" customHeight="1">
      <c r="A251" s="134"/>
      <c r="B251" s="45"/>
      <c r="C251" s="45"/>
      <c r="D251" s="45"/>
      <c r="E251" s="45"/>
      <c r="F251" s="45"/>
      <c r="G251" s="45"/>
      <c r="H251" s="135"/>
      <c r="I251" s="135"/>
      <c r="J251" s="135"/>
      <c r="K251" s="135"/>
      <c r="L251" s="135"/>
      <c r="M251" s="135"/>
      <c r="N251" s="135"/>
      <c r="O251" s="135"/>
      <c r="P251" s="135"/>
      <c r="Q251" s="114"/>
    </row>
    <row r="252" spans="1:17" ht="15.75" customHeight="1">
      <c r="A252" s="134"/>
      <c r="B252" s="45"/>
      <c r="C252" s="45"/>
      <c r="D252" s="45"/>
      <c r="E252" s="45"/>
      <c r="F252" s="45"/>
      <c r="G252" s="45"/>
      <c r="H252" s="135"/>
      <c r="I252" s="135"/>
      <c r="J252" s="135"/>
      <c r="K252" s="135"/>
      <c r="L252" s="135"/>
      <c r="M252" s="135"/>
      <c r="N252" s="135"/>
      <c r="O252" s="135"/>
      <c r="P252" s="135"/>
      <c r="Q252" s="114"/>
    </row>
    <row r="253" spans="1:17" ht="15.75" customHeight="1">
      <c r="A253" s="134"/>
      <c r="B253" s="45"/>
      <c r="C253" s="45"/>
      <c r="D253" s="45"/>
      <c r="E253" s="45"/>
      <c r="F253" s="45"/>
      <c r="G253" s="45"/>
      <c r="H253" s="135"/>
      <c r="I253" s="135"/>
      <c r="J253" s="135"/>
      <c r="K253" s="135"/>
      <c r="L253" s="135"/>
      <c r="M253" s="135"/>
      <c r="N253" s="135"/>
      <c r="O253" s="135"/>
      <c r="P253" s="135"/>
      <c r="Q253" s="114"/>
    </row>
    <row r="254" spans="1:17" ht="15.75" customHeight="1">
      <c r="A254" s="134"/>
      <c r="B254" s="45"/>
      <c r="C254" s="45"/>
      <c r="D254" s="45"/>
      <c r="E254" s="45"/>
      <c r="F254" s="45"/>
      <c r="G254" s="45"/>
      <c r="H254" s="135"/>
      <c r="I254" s="135"/>
      <c r="J254" s="135"/>
      <c r="K254" s="135"/>
      <c r="L254" s="135"/>
      <c r="M254" s="135"/>
      <c r="N254" s="135"/>
      <c r="O254" s="135"/>
      <c r="P254" s="135"/>
      <c r="Q254" s="114"/>
    </row>
    <row r="255" spans="1:17" ht="15.75" customHeight="1">
      <c r="A255" s="134"/>
      <c r="B255" s="45"/>
      <c r="C255" s="45"/>
      <c r="D255" s="45"/>
      <c r="E255" s="45"/>
      <c r="F255" s="45"/>
      <c r="G255" s="45"/>
      <c r="H255" s="135"/>
      <c r="I255" s="135"/>
      <c r="J255" s="135"/>
      <c r="K255" s="135"/>
      <c r="L255" s="135"/>
      <c r="M255" s="135"/>
      <c r="N255" s="135"/>
      <c r="O255" s="135"/>
      <c r="P255" s="135"/>
      <c r="Q255" s="114"/>
    </row>
    <row r="256" spans="1:17" ht="15.75" customHeight="1">
      <c r="A256" s="134"/>
      <c r="B256" s="45"/>
      <c r="C256" s="45"/>
      <c r="D256" s="45"/>
      <c r="E256" s="45"/>
      <c r="F256" s="45"/>
      <c r="G256" s="45"/>
      <c r="H256" s="135"/>
      <c r="I256" s="135"/>
      <c r="J256" s="135"/>
      <c r="K256" s="135"/>
      <c r="L256" s="135"/>
      <c r="M256" s="135"/>
      <c r="N256" s="135"/>
      <c r="O256" s="135"/>
      <c r="P256" s="135"/>
      <c r="Q256" s="11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F1"/>
    <mergeCell ref="G1:H1"/>
    <mergeCell ref="I1:L1"/>
    <mergeCell ref="M1:Q1"/>
  </mergeCells>
  <hyperlinks>
    <hyperlink ref="A6"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6A5AF"/>
    <outlinePr summaryBelow="0" summaryRight="0"/>
  </sheetPr>
  <dimension ref="A1:AQ1000"/>
  <sheetViews>
    <sheetView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2.6640625" defaultRowHeight="15" customHeight="1"/>
  <cols>
    <col min="1" max="1" width="5.1640625" customWidth="1"/>
    <col min="2" max="2" width="12.6640625" hidden="1"/>
    <col min="7" max="7" width="9" customWidth="1"/>
    <col min="8" max="8" width="18.6640625" customWidth="1"/>
    <col min="9" max="9" width="9" customWidth="1"/>
    <col min="10" max="10" width="7.5" customWidth="1"/>
    <col min="11" max="11" width="9.1640625" customWidth="1"/>
    <col min="12" max="12" width="10" customWidth="1"/>
    <col min="13" max="13" width="11.1640625" customWidth="1"/>
    <col min="14" max="14" width="5.1640625" customWidth="1"/>
    <col min="15" max="15" width="7" customWidth="1"/>
    <col min="16" max="16" width="7.83203125" customWidth="1"/>
    <col min="17" max="17" width="9" customWidth="1"/>
  </cols>
  <sheetData>
    <row r="1" spans="1:43" ht="24.75" customHeight="1">
      <c r="A1" s="14"/>
      <c r="B1" s="14"/>
      <c r="C1" s="229" t="s">
        <v>133</v>
      </c>
      <c r="D1" s="212"/>
      <c r="E1" s="212"/>
      <c r="F1" s="212"/>
      <c r="G1" s="231" t="s">
        <v>148</v>
      </c>
      <c r="H1" s="214"/>
      <c r="I1" s="214"/>
      <c r="J1" s="214"/>
      <c r="K1" s="214"/>
      <c r="L1" s="214"/>
      <c r="M1" s="214"/>
      <c r="N1" s="214"/>
      <c r="O1" s="214"/>
      <c r="P1" s="214"/>
      <c r="Q1" s="214"/>
      <c r="R1" s="214"/>
      <c r="S1" s="214"/>
      <c r="T1" s="214"/>
      <c r="U1" s="59" t="s">
        <v>149</v>
      </c>
      <c r="V1" s="232" t="s">
        <v>150</v>
      </c>
      <c r="W1" s="212"/>
      <c r="X1" s="212"/>
      <c r="Y1" s="212"/>
      <c r="Z1" s="212"/>
      <c r="AA1" s="212"/>
      <c r="AB1" s="212"/>
      <c r="AC1" s="212"/>
      <c r="AD1" s="212"/>
      <c r="AE1" s="212"/>
      <c r="AF1" s="212"/>
      <c r="AG1" s="218" t="s">
        <v>151</v>
      </c>
      <c r="AH1" s="212"/>
      <c r="AI1" s="233" t="s">
        <v>152</v>
      </c>
      <c r="AJ1" s="214"/>
      <c r="AK1" s="214"/>
      <c r="AL1" s="214"/>
      <c r="AM1" s="219" t="s">
        <v>90</v>
      </c>
      <c r="AN1" s="214"/>
      <c r="AO1" s="214"/>
      <c r="AP1" s="214"/>
      <c r="AQ1" s="217"/>
    </row>
    <row r="2" spans="1:43" ht="24.75" customHeight="1">
      <c r="A2" s="14" t="s">
        <v>31</v>
      </c>
      <c r="B2" s="14" t="s">
        <v>91</v>
      </c>
      <c r="C2" s="38" t="s">
        <v>135</v>
      </c>
      <c r="D2" s="14" t="s">
        <v>136</v>
      </c>
      <c r="E2" s="14" t="s">
        <v>137</v>
      </c>
      <c r="F2" s="14" t="s">
        <v>138</v>
      </c>
      <c r="G2" s="21" t="s">
        <v>153</v>
      </c>
      <c r="H2" s="14" t="s">
        <v>154</v>
      </c>
      <c r="I2" s="14" t="s">
        <v>155</v>
      </c>
      <c r="J2" s="14" t="s">
        <v>115</v>
      </c>
      <c r="K2" s="14" t="s">
        <v>156</v>
      </c>
      <c r="L2" s="14" t="s">
        <v>157</v>
      </c>
      <c r="M2" s="14" t="s">
        <v>158</v>
      </c>
      <c r="N2" s="136" t="s">
        <v>116</v>
      </c>
      <c r="O2" s="136" t="s">
        <v>159</v>
      </c>
      <c r="P2" s="136" t="s">
        <v>160</v>
      </c>
      <c r="Q2" s="136" t="s">
        <v>161</v>
      </c>
      <c r="R2" s="136" t="s">
        <v>117</v>
      </c>
      <c r="S2" s="14" t="s">
        <v>162</v>
      </c>
      <c r="T2" s="14" t="s">
        <v>163</v>
      </c>
      <c r="U2" s="137" t="s">
        <v>164</v>
      </c>
      <c r="V2" s="21" t="s">
        <v>165</v>
      </c>
      <c r="W2" s="14" t="s">
        <v>166</v>
      </c>
      <c r="X2" s="14" t="s">
        <v>154</v>
      </c>
      <c r="Y2" s="14" t="s">
        <v>167</v>
      </c>
      <c r="Z2" s="136" t="s">
        <v>116</v>
      </c>
      <c r="AA2" s="136" t="s">
        <v>159</v>
      </c>
      <c r="AB2" s="136" t="s">
        <v>160</v>
      </c>
      <c r="AC2" s="136" t="s">
        <v>161</v>
      </c>
      <c r="AD2" s="136" t="s">
        <v>117</v>
      </c>
      <c r="AE2" s="14" t="s">
        <v>168</v>
      </c>
      <c r="AF2" s="14" t="s">
        <v>163</v>
      </c>
      <c r="AG2" s="14" t="s">
        <v>169</v>
      </c>
      <c r="AH2" s="137" t="s">
        <v>170</v>
      </c>
      <c r="AI2" s="38" t="s">
        <v>171</v>
      </c>
      <c r="AJ2" s="38" t="s">
        <v>172</v>
      </c>
      <c r="AK2" s="38" t="s">
        <v>173</v>
      </c>
      <c r="AL2" s="38" t="s">
        <v>174</v>
      </c>
      <c r="AM2" s="61" t="s">
        <v>175</v>
      </c>
      <c r="AN2" s="62" t="s">
        <v>176</v>
      </c>
      <c r="AO2" s="62" t="s">
        <v>175</v>
      </c>
      <c r="AP2" s="63" t="s">
        <v>176</v>
      </c>
      <c r="AQ2" s="64" t="s">
        <v>100</v>
      </c>
    </row>
    <row r="3" spans="1:43" ht="26.25" customHeight="1">
      <c r="A3" s="14"/>
      <c r="B3" s="115"/>
      <c r="C3" s="115"/>
      <c r="D3" s="115"/>
      <c r="E3" s="115"/>
      <c r="F3" s="115"/>
      <c r="G3" s="138" t="s">
        <v>177</v>
      </c>
      <c r="H3" s="138" t="s">
        <v>177</v>
      </c>
      <c r="I3" s="139" t="s">
        <v>129</v>
      </c>
      <c r="J3" s="45" t="s">
        <v>178</v>
      </c>
      <c r="K3" s="45" t="s">
        <v>178</v>
      </c>
      <c r="L3" s="45" t="s">
        <v>178</v>
      </c>
      <c r="M3" s="45" t="s">
        <v>178</v>
      </c>
      <c r="N3" s="115" t="s">
        <v>131</v>
      </c>
      <c r="O3" s="115" t="s">
        <v>131</v>
      </c>
      <c r="P3" s="115" t="s">
        <v>131</v>
      </c>
      <c r="Q3" s="115" t="s">
        <v>131</v>
      </c>
      <c r="R3" s="115" t="s">
        <v>131</v>
      </c>
      <c r="S3" s="115"/>
      <c r="T3" s="115"/>
      <c r="U3" s="140" t="s">
        <v>145</v>
      </c>
      <c r="V3" s="138" t="s">
        <v>179</v>
      </c>
      <c r="W3" s="139" t="s">
        <v>180</v>
      </c>
      <c r="X3" s="138" t="s">
        <v>177</v>
      </c>
      <c r="Y3" s="139" t="s">
        <v>129</v>
      </c>
      <c r="Z3" s="115"/>
      <c r="AA3" s="115"/>
      <c r="AB3" s="115"/>
      <c r="AC3" s="115"/>
      <c r="AD3" s="115"/>
      <c r="AE3" s="7"/>
      <c r="AF3" s="7"/>
      <c r="AG3" s="115" t="s">
        <v>145</v>
      </c>
      <c r="AH3" s="140" t="s">
        <v>145</v>
      </c>
      <c r="AI3" s="116" t="s">
        <v>181</v>
      </c>
      <c r="AJ3" s="116" t="s">
        <v>181</v>
      </c>
      <c r="AK3" s="116" t="s">
        <v>181</v>
      </c>
      <c r="AL3" s="116" t="s">
        <v>181</v>
      </c>
      <c r="AM3" s="117" t="s">
        <v>182</v>
      </c>
      <c r="AN3" s="117" t="s">
        <v>182</v>
      </c>
      <c r="AO3" s="117" t="s">
        <v>183</v>
      </c>
      <c r="AP3" s="117" t="s">
        <v>183</v>
      </c>
      <c r="AQ3" s="119" t="s">
        <v>36</v>
      </c>
    </row>
    <row r="4" spans="1:43" ht="15.75" customHeight="1">
      <c r="A4" s="141" t="s">
        <v>37</v>
      </c>
      <c r="B4" s="33" t="s">
        <v>147</v>
      </c>
      <c r="C4" s="125">
        <f>VLOOKUP(A4,'Dairy Animal Numbers, Mass, Mil'!$B$4:$H$51,2,FALSE)</f>
        <v>1725000</v>
      </c>
      <c r="D4" s="125">
        <f>VLOOKUP($A4,'Dairy Animal Numbers, Mass, Mil'!$B$4:$F$52,3,FALSE)</f>
        <v>891000</v>
      </c>
      <c r="E4" s="125">
        <f>VLOOKUP($A4,'Dairy Animal Numbers, Mass, Mil'!$B$4:$F$52,4,FALSE)</f>
        <v>221000</v>
      </c>
      <c r="F4" s="125">
        <f>VLOOKUP($A4,'Dairy Animal Numbers, Mass, Mil'!$B$4:$F$52,5,FALSE)</f>
        <v>531000</v>
      </c>
      <c r="G4" s="142">
        <f>IF(B4="dairy cows",VLOOKUP(A4,'volatile solids and nex'!$B$4:$P$53,6,FALSE),0)</f>
        <v>2861</v>
      </c>
      <c r="H4" s="143">
        <f>IF(B4="dairy cows",VLOOKUP(A4,'volatile solids and nex'!$B$4:$P$53,14,FALSE),0)</f>
        <v>159</v>
      </c>
      <c r="I4" s="120">
        <v>0.24</v>
      </c>
      <c r="J4" s="33">
        <f>VLOOKUP(A4,'avg ann temp, manure EFs'!$B$3:$J$52,6,FALSE)</f>
        <v>1.5</v>
      </c>
      <c r="K4" s="45">
        <f>VLOOKUP(A4,'avg ann temp, manure EFs'!$B$3:$J$52,5,FALSE)</f>
        <v>34</v>
      </c>
      <c r="L4" s="45">
        <f>VLOOKUP(A4,'avg ann temp, manure EFs'!$B$3:$J$52,4,FALSE)</f>
        <v>75</v>
      </c>
      <c r="M4" s="45">
        <f>VLOOKUP(A4,'avg ann temp, manure EFs'!$B$3:$J$52,9,FALSE)</f>
        <v>50</v>
      </c>
      <c r="N4" s="33">
        <f>VLOOKUP(A4,'Dairy State Manure Mgmt'!$B$3:$I$52,4,FALSE)+VLOOKUP(A4,'Dairy State Manure Mgmt'!$B$3:$I$52,5,FALSE)</f>
        <v>29</v>
      </c>
      <c r="O4" s="33">
        <f>+VLOOKUP(A4,'Dairy State Manure Mgmt'!$B$3:$I$52,6,FALSE)+VLOOKUP(A4,'Dairy State Manure Mgmt'!$B$3:$I$52,8,FALSE)</f>
        <v>12</v>
      </c>
      <c r="P4" s="33">
        <f>+VLOOKUP(A4,'Dairy State Manure Mgmt'!$B$3:$I$52,7,FALSE)</f>
        <v>54</v>
      </c>
      <c r="Q4" s="33">
        <v>0</v>
      </c>
      <c r="R4" s="34">
        <f>VLOOKUP(A4,'Dairy State Manure Mgmt'!$B$3:$I$52,2,FALSE)+VLOOKUP(A4,'Dairy State Manure Mgmt'!$B$3:$I$52,3,FALSE)</f>
        <v>5</v>
      </c>
      <c r="S4" s="34">
        <f t="shared" ref="S4:S51" si="0">100-T4</f>
        <v>0</v>
      </c>
      <c r="T4" s="34">
        <f t="shared" ref="T4:T51" si="1">SUM(N4:R4)</f>
        <v>100</v>
      </c>
      <c r="U4" s="144">
        <f t="shared" ref="U4:U24" si="2">0.662*G4*I4*((J4/100*N4/100)+(K4/100*O4/100)+(L4/100*P4/100)+(M4/100*Q4/100))+(0.0047*R4/100)</f>
        <v>204.61847435200005</v>
      </c>
      <c r="V4" s="142">
        <f>(IF(B4="dairy cows",VLOOKUP(A4,'volatile solids and nex'!$B$4:$M$53,7,FALSE)) )</f>
        <v>1255</v>
      </c>
      <c r="W4" s="145">
        <f>IF(B4="dairy cows",VLOOKUP(A4,'volatile solids and nex'!$B$4:$M$54,5,FALSE)*('Dairy Animal Numbers, Mass, Mil'!$K$19/1000) ) * 365</f>
        <v>306.20521746000003</v>
      </c>
      <c r="X4" s="143">
        <f>IF(B4="dairy cows",VLOOKUP(A4,'volatile solids and nex'!$B$4:$P$53,15,FALSE),0)</f>
        <v>69</v>
      </c>
      <c r="Y4" s="33">
        <v>0.17</v>
      </c>
      <c r="Z4" s="34">
        <f>VLOOKUP($A4,'Dairy State Manure Mgmt'!$M$2:$Q$52,3,FALSE)</f>
        <v>88</v>
      </c>
      <c r="AA4" s="34">
        <f>VLOOKUP($A4,'Dairy State Manure Mgmt'!$M$2:$Q$52,4,FALSE)</f>
        <v>1</v>
      </c>
      <c r="AB4" s="34">
        <v>0</v>
      </c>
      <c r="AC4" s="34">
        <v>0</v>
      </c>
      <c r="AD4" s="34">
        <f>VLOOKUP($A4,'Dairy State Manure Mgmt'!$M$2:$Q$52,2,FALSE)+VLOOKUP($A4,'Dairy State Manure Mgmt'!$M$2:$Q$52,5,FALSE)</f>
        <v>12</v>
      </c>
      <c r="AE4" s="146">
        <f t="shared" ref="AE4:AE51" si="3">100-AF4</f>
        <v>-1</v>
      </c>
      <c r="AF4" s="146">
        <f t="shared" ref="AF4:AF51" si="4">SUM(Z4:AD4)</f>
        <v>101</v>
      </c>
      <c r="AG4" s="147">
        <f t="shared" ref="AG4:AG51" si="5">0.662*V4*Y4*(J4/100*Z4/100)+   0.662*V4*Y4*(K4/100*AA4/100) +   0.662*V4*Y4*(0.0047*AD4/100)</f>
        <v>2.4242038828000001</v>
      </c>
      <c r="AH4" s="144">
        <f t="shared" ref="AH4:AH51" si="6">0.662*W4*Y4*(J4/100*Z4/100)+   0.662*W4*Y4*(K4/100*AA4/100) +   0.662*W4*Y4*(0.0047*AD4/100)</f>
        <v>0.59147719290848633</v>
      </c>
      <c r="AI4" s="34">
        <f t="shared" ref="AI4:AI51" si="7">H4*((0.02*N4/100)+(0.005*O4/100)+(0.005*P4/100)+(0*Q4/100)+(0*R4/100))</f>
        <v>1.4469000000000001</v>
      </c>
      <c r="AJ4" s="34">
        <f t="shared" ref="AJ4:AJ51" si="8">X4*((0.02*Z4/100)+(0.005*AA4/100)+(0.005*AB4/100)+(0*AC4/100)+(0*AD4/100))</f>
        <v>1.2178500000000001</v>
      </c>
      <c r="AK4" s="148">
        <f>(H4 * 0.26 * 0.01 ) +            (H4 * ( ((VLOOKUP(A4,'avg ann temp, manure EFs'!$B$1:$AA$55,22,FALSE)/100*N4/100)+(VLOOKUP(A4,'avg ann temp, manure EFs'!$B$1:$AA$55,23,FALSE)/100*O4/100)+(VLOOKUP(A4,'avg ann temp, manure EFs'!$B$1:$AA$55,19,FALSE)/100*P4/100)+(0.05*R4/100) )  * 0.0075 ))</f>
        <v>0.7823595000000001</v>
      </c>
      <c r="AL4" s="148">
        <f>(X4 * 0.43 * 0.01 ) +            (X4 * ( ((VLOOKUP(A4,'avg ann temp, manure EFs'!$B$1:$AA$55,22,FALSE)/100*Z4/100)+(VLOOKUP(A4,'avg ann temp, manure EFs'!$B$1:$AA$55,23,FALSE)/100*AA4/100)+(VLOOKUP(A4,'avg ann temp, manure EFs'!$B$1:$AA$55,19,FALSE)/100*AB4/100)+(0.05*AD4/100) )  * 0.0075 ))</f>
        <v>0.36946049999999997</v>
      </c>
      <c r="AM4" s="149">
        <f>(('Dairy Manure Inventory'!U4*'Dairy Manure Inventory'!C4)/1000/1000000)*28</f>
        <v>9.8830723112016017</v>
      </c>
      <c r="AN4" s="149">
        <f>(('Dairy Manure Inventory'!AH4*'Dairy Manure Inventory'!D4)/1000/1000000)*28 + (('Dairy Manure Inventory'!AG4*('Dairy Manure Inventory'!E4+'Dairy Manure Inventory'!F4) )/1000/1000000)*28</f>
        <v>6.5800209964917714E-2</v>
      </c>
      <c r="AO4" s="149">
        <f>(( ('Dairy Manure Inventory'!AI4+'Dairy Manure Inventory'!AK4) * 'Dairy Manure Inventory'!C4)/1000/1000000)*265</f>
        <v>1.0190502489375002</v>
      </c>
      <c r="AP4" s="150">
        <f>(( ('Dairy Manure Inventory'!AJ4+'Dairy Manure Inventory'!AL4) * ('Dairy Manure Inventory'!D4+'Dairy Manure Inventory'!E4+'Dairy Manure Inventory'!F4) /1000/1000000)*265)</f>
        <v>0.69110705514750004</v>
      </c>
      <c r="AQ4" s="43">
        <f t="shared" ref="AQ4:AQ51" si="9">SUM(AM4:AP4)</f>
        <v>11.659029825251519</v>
      </c>
    </row>
    <row r="5" spans="1:43" ht="15.75" customHeight="1">
      <c r="A5" s="33" t="s">
        <v>38</v>
      </c>
      <c r="B5" s="33" t="s">
        <v>147</v>
      </c>
      <c r="C5" s="125">
        <f>VLOOKUP(A5,'Dairy Animal Numbers, Mass, Mil'!$B$4:$H$51,2,FALSE)</f>
        <v>445000</v>
      </c>
      <c r="D5" s="125">
        <f>VLOOKUP($A5,'Dairy Animal Numbers, Mass, Mil'!$B$4:$F$52,3,FALSE)</f>
        <v>230000</v>
      </c>
      <c r="E5" s="125">
        <f>VLOOKUP($A5,'Dairy Animal Numbers, Mass, Mil'!$B$4:$F$52,4,FALSE)</f>
        <v>68000</v>
      </c>
      <c r="F5" s="125">
        <f>VLOOKUP($A5,'Dairy Animal Numbers, Mass, Mil'!$B$4:$F$52,5,FALSE)</f>
        <v>164000</v>
      </c>
      <c r="G5" s="142">
        <f>IF(B5="dairy cows",VLOOKUP(A5,'volatile solids and nex'!$B$4:$P$53,6,FALSE),0)</f>
        <v>2785</v>
      </c>
      <c r="H5" s="143">
        <f>IF(B5="dairy cows",VLOOKUP(A5,'volatile solids and nex'!$B$4:$P$53,14,FALSE),0)</f>
        <v>156</v>
      </c>
      <c r="I5" s="120">
        <v>0.24</v>
      </c>
      <c r="J5" s="33">
        <f>VLOOKUP(A5,'avg ann temp, manure EFs'!$B$3:$J$52,6,FALSE)</f>
        <v>1</v>
      </c>
      <c r="K5" s="33">
        <f>VLOOKUP(A5,'avg ann temp, manure EFs'!$B$3:$J$52,5,FALSE)</f>
        <v>24</v>
      </c>
      <c r="L5" s="33">
        <f>VLOOKUP(A5,'avg ann temp, manure EFs'!$B$3:$J$52,4,FALSE)</f>
        <v>68</v>
      </c>
      <c r="M5" s="33">
        <f>VLOOKUP(A5,'avg ann temp, manure EFs'!$B$3:$J$52,9,FALSE)</f>
        <v>50</v>
      </c>
      <c r="N5" s="33">
        <f>VLOOKUP(A5,'Dairy State Manure Mgmt'!$B$3:$I$52,4,FALSE)+VLOOKUP(A5,'Dairy State Manure Mgmt'!$B$3:$I$52,5,FALSE)</f>
        <v>24</v>
      </c>
      <c r="O5" s="33">
        <f>+VLOOKUP(A5,'Dairy State Manure Mgmt'!$B$3:$I$52,6,FALSE)+VLOOKUP(A5,'Dairy State Manure Mgmt'!$B$3:$I$52,8,FALSE)</f>
        <v>29</v>
      </c>
      <c r="P5" s="33">
        <f>+VLOOKUP(A5,'Dairy State Manure Mgmt'!$B$3:$I$52,7,FALSE)</f>
        <v>26</v>
      </c>
      <c r="Q5" s="33">
        <v>0</v>
      </c>
      <c r="R5" s="34">
        <f>VLOOKUP(A5,'Dairy State Manure Mgmt'!$B$3:$I$52,2,FALSE)+VLOOKUP(A5,'Dairy State Manure Mgmt'!$B$3:$I$52,3,FALSE)</f>
        <v>22</v>
      </c>
      <c r="S5" s="34">
        <f t="shared" si="0"/>
        <v>-1</v>
      </c>
      <c r="T5" s="34">
        <f t="shared" si="1"/>
        <v>101</v>
      </c>
      <c r="U5" s="144">
        <f t="shared" si="2"/>
        <v>110.09025703999998</v>
      </c>
      <c r="V5" s="142">
        <f>(IF(B5="dairy cows",VLOOKUP(A5,'volatile solids and nex'!$B$4:$M$53,7,FALSE)) )</f>
        <v>1255</v>
      </c>
      <c r="W5" s="145">
        <f>IF(B5="dairy cows",VLOOKUP(A5,'volatile solids and nex'!$B$4:$M$54,5,FALSE)*('Dairy Animal Numbers, Mass, Mil'!$K$19/1000) ) * 365</f>
        <v>308.88730695600003</v>
      </c>
      <c r="X5" s="143">
        <f>IF(B5="dairy cows",VLOOKUP(A5,'volatile solids and nex'!$B$4:$P$53,15,FALSE),0)</f>
        <v>69</v>
      </c>
      <c r="Y5" s="33">
        <v>0.17</v>
      </c>
      <c r="Z5" s="34">
        <f>VLOOKUP($A5,'Dairy State Manure Mgmt'!$M$2:$Q$52,3,FALSE)</f>
        <v>84</v>
      </c>
      <c r="AA5" s="34">
        <f>VLOOKUP($A5,'Dairy State Manure Mgmt'!$M$2:$Q$52,4,FALSE)</f>
        <v>0</v>
      </c>
      <c r="AB5" s="34">
        <v>0</v>
      </c>
      <c r="AC5" s="34">
        <v>0</v>
      </c>
      <c r="AD5" s="34">
        <f>VLOOKUP($A5,'Dairy State Manure Mgmt'!$M$2:$Q$52,2,FALSE)+VLOOKUP($A5,'Dairy State Manure Mgmt'!$M$2:$Q$52,5,FALSE)</f>
        <v>16</v>
      </c>
      <c r="AE5" s="146">
        <f t="shared" si="3"/>
        <v>0</v>
      </c>
      <c r="AF5" s="146">
        <f t="shared" si="4"/>
        <v>100</v>
      </c>
      <c r="AG5" s="147">
        <f t="shared" si="5"/>
        <v>1.2926074304000001</v>
      </c>
      <c r="AH5" s="144">
        <f t="shared" si="6"/>
        <v>0.3181434487072281</v>
      </c>
      <c r="AI5" s="34">
        <f t="shared" si="7"/>
        <v>1.1778</v>
      </c>
      <c r="AJ5" s="34">
        <f t="shared" si="8"/>
        <v>1.1592</v>
      </c>
      <c r="AK5" s="148">
        <f>(H5 * 0.26 * 0.01 ) +            (H5 * ( ((VLOOKUP(A5,'avg ann temp, manure EFs'!$B$1:$AA$55,22,FALSE)/100*N5/100)+(VLOOKUP(A5,'avg ann temp, manure EFs'!$B$1:$AA$55,23,FALSE)/100*O5/100)+(VLOOKUP(A5,'avg ann temp, manure EFs'!$B$1:$AA$55,19,FALSE)/100*P5/100)+(0.05*R5/100) )  * 0.0075 ))</f>
        <v>0.67961399999999994</v>
      </c>
      <c r="AL5" s="148">
        <f>(X5 * 0.43 * 0.01 ) +            (X5 * ( ((VLOOKUP(A5,'avg ann temp, manure EFs'!$B$1:$AA$55,22,FALSE)/100*Z5/100)+(VLOOKUP(A5,'avg ann temp, manure EFs'!$B$1:$AA$55,23,FALSE)/100*AA5/100)+(VLOOKUP(A5,'avg ann temp, manure EFs'!$B$1:$AA$55,19,FALSE)/100*AB5/100)+(0.05*AD5/100) )  * 0.0075 ))</f>
        <v>0.36604499999999995</v>
      </c>
      <c r="AM5" s="149">
        <f>(('Dairy Manure Inventory'!U5*'Dairy Manure Inventory'!C5)/1000/1000000)*28</f>
        <v>1.3717246027183996</v>
      </c>
      <c r="AN5" s="149">
        <f>(('Dairy Manure Inventory'!AH5*'Dairy Manure Inventory'!D5)/1000/1000000)*28 + (('Dairy Manure Inventory'!AG5*('Dairy Manure Inventory'!E5+'Dairy Manure Inventory'!F5) )/1000/1000000)*28</f>
        <v>1.044562167755295E-2</v>
      </c>
      <c r="AO5" s="149">
        <f>(( ('Dairy Manure Inventory'!AI5+'Dairy Manure Inventory'!AK5) * 'Dairy Manure Inventory'!C5)/1000/1000000)*265</f>
        <v>0.21903554594999999</v>
      </c>
      <c r="AP5" s="150">
        <f>(( ('Dairy Manure Inventory'!AJ5+'Dairy Manure Inventory'!AL5) * ('Dairy Manure Inventory'!D5+'Dairy Manure Inventory'!E5+'Dairy Manure Inventory'!F5) /1000/1000000)*265)</f>
        <v>0.18673574535000001</v>
      </c>
      <c r="AQ5" s="43">
        <f t="shared" si="9"/>
        <v>1.7879415156959526</v>
      </c>
    </row>
    <row r="6" spans="1:43" ht="15.75" customHeight="1">
      <c r="A6" s="33" t="s">
        <v>39</v>
      </c>
      <c r="B6" s="33" t="s">
        <v>147</v>
      </c>
      <c r="C6" s="125">
        <f>VLOOKUP(A6,'Dairy Animal Numbers, Mass, Mil'!$B$4:$H$51,2,FALSE)</f>
        <v>625000</v>
      </c>
      <c r="D6" s="125">
        <f>VLOOKUP($A6,'Dairy Animal Numbers, Mass, Mil'!$B$4:$F$52,3,FALSE)</f>
        <v>323000</v>
      </c>
      <c r="E6" s="125">
        <f>VLOOKUP($A6,'Dairy Animal Numbers, Mass, Mil'!$B$4:$F$52,4,FALSE)</f>
        <v>100000</v>
      </c>
      <c r="F6" s="125">
        <f>VLOOKUP($A6,'Dairy Animal Numbers, Mass, Mil'!$B$4:$F$52,5,FALSE)</f>
        <v>241000</v>
      </c>
      <c r="G6" s="142">
        <f>IF(B6="dairy cows",VLOOKUP(A6,'volatile solids and nex'!$B$4:$P$53,6,FALSE),0)</f>
        <v>2918</v>
      </c>
      <c r="H6" s="143">
        <f>IF(B6="dairy cows",VLOOKUP(A6,'volatile solids and nex'!$B$4:$P$53,14,FALSE),0)</f>
        <v>162</v>
      </c>
      <c r="I6" s="120">
        <v>0.24</v>
      </c>
      <c r="J6" s="33">
        <f>VLOOKUP(A6,'avg ann temp, manure EFs'!$B$3:$J$52,6,FALSE)</f>
        <v>1</v>
      </c>
      <c r="K6" s="33">
        <f>VLOOKUP(A6,'avg ann temp, manure EFs'!$B$3:$J$52,5,FALSE)</f>
        <v>23</v>
      </c>
      <c r="L6" s="33">
        <f>VLOOKUP(A6,'avg ann temp, manure EFs'!$B$3:$J$52,4,FALSE)</f>
        <v>67</v>
      </c>
      <c r="M6" s="33">
        <f>VLOOKUP(A6,'avg ann temp, manure EFs'!$B$3:$J$52,9,FALSE)</f>
        <v>50</v>
      </c>
      <c r="N6" s="33">
        <f>VLOOKUP(A6,'Dairy State Manure Mgmt'!$B$3:$I$52,4,FALSE)+VLOOKUP(A6,'Dairy State Manure Mgmt'!$B$3:$I$52,5,FALSE)</f>
        <v>15</v>
      </c>
      <c r="O6" s="33">
        <f>+VLOOKUP(A6,'Dairy State Manure Mgmt'!$B$3:$I$52,6,FALSE)+VLOOKUP(A6,'Dairy State Manure Mgmt'!$B$3:$I$52,8,FALSE)</f>
        <v>30</v>
      </c>
      <c r="P6" s="33">
        <f>+VLOOKUP(A6,'Dairy State Manure Mgmt'!$B$3:$I$52,7,FALSE)</f>
        <v>38</v>
      </c>
      <c r="Q6" s="33">
        <v>0</v>
      </c>
      <c r="R6" s="34">
        <f>VLOOKUP(A6,'Dairy State Manure Mgmt'!$B$3:$I$52,2,FALSE)+VLOOKUP(A6,'Dairy State Manure Mgmt'!$B$3:$I$52,3,FALSE)</f>
        <v>17</v>
      </c>
      <c r="S6" s="34">
        <f t="shared" si="0"/>
        <v>0</v>
      </c>
      <c r="T6" s="34">
        <f t="shared" si="1"/>
        <v>100</v>
      </c>
      <c r="U6" s="144">
        <f t="shared" si="2"/>
        <v>150.721008184</v>
      </c>
      <c r="V6" s="142">
        <f>(IF(B6="dairy cows",VLOOKUP(A6,'volatile solids and nex'!$B$4:$M$53,7,FALSE)) )</f>
        <v>1255</v>
      </c>
      <c r="W6" s="145">
        <f>IF(B6="dairy cows",VLOOKUP(A6,'volatile solids and nex'!$B$4:$M$54,5,FALSE)*('Dairy Animal Numbers, Mass, Mil'!$K$19/1000) ) * 365</f>
        <v>308.44029204000003</v>
      </c>
      <c r="X6" s="143">
        <f>IF(B6="dairy cows",VLOOKUP(A6,'volatile solids and nex'!$B$4:$P$53,15,FALSE),0)</f>
        <v>69</v>
      </c>
      <c r="Y6" s="33">
        <v>0.17</v>
      </c>
      <c r="Z6" s="34">
        <f>VLOOKUP($A6,'Dairy State Manure Mgmt'!$M$2:$Q$52,3,FALSE)</f>
        <v>48</v>
      </c>
      <c r="AA6" s="34">
        <f>VLOOKUP($A6,'Dairy State Manure Mgmt'!$M$2:$Q$52,4,FALSE)</f>
        <v>0</v>
      </c>
      <c r="AB6" s="34">
        <v>0</v>
      </c>
      <c r="AC6" s="34">
        <v>0</v>
      </c>
      <c r="AD6" s="34">
        <f>VLOOKUP($A6,'Dairy State Manure Mgmt'!$M$2:$Q$52,2,FALSE)+VLOOKUP($A6,'Dairy State Manure Mgmt'!$M$2:$Q$52,5,FALSE)</f>
        <v>52</v>
      </c>
      <c r="AE6" s="146">
        <f t="shared" si="3"/>
        <v>0</v>
      </c>
      <c r="AF6" s="146">
        <f t="shared" si="4"/>
        <v>100</v>
      </c>
      <c r="AG6" s="147">
        <f t="shared" si="5"/>
        <v>1.0231258988</v>
      </c>
      <c r="AH6" s="144">
        <f t="shared" si="6"/>
        <v>0.25145278965701956</v>
      </c>
      <c r="AI6" s="34">
        <f t="shared" si="7"/>
        <v>1.0367999999999999</v>
      </c>
      <c r="AJ6" s="34">
        <f t="shared" si="8"/>
        <v>0.66239999999999999</v>
      </c>
      <c r="AK6" s="148">
        <f>(H6 * 0.26 * 0.01 ) +            (H6 * ( ((VLOOKUP(A6,'avg ann temp, manure EFs'!$B$1:$AA$55,22,FALSE)/100*N6/100)+(VLOOKUP(A6,'avg ann temp, manure EFs'!$B$1:$AA$55,23,FALSE)/100*O6/100)+(VLOOKUP(A6,'avg ann temp, manure EFs'!$B$1:$AA$55,19,FALSE)/100*P6/100)+(0.05*R6/100) )  * 0.0075 ))</f>
        <v>0.75216600000000011</v>
      </c>
      <c r="AL6" s="148">
        <f>(X6 * 0.43 * 0.01 ) +            (X6 * ( ((VLOOKUP(A6,'avg ann temp, manure EFs'!$B$1:$AA$55,22,FALSE)/100*Z6/100)+(VLOOKUP(A6,'avg ann temp, manure EFs'!$B$1:$AA$55,23,FALSE)/100*AA6/100)+(VLOOKUP(A6,'avg ann temp, manure EFs'!$B$1:$AA$55,19,FALSE)/100*AB6/100)+(0.05*AD6/100) )  * 0.0075 ))</f>
        <v>0.34741499999999997</v>
      </c>
      <c r="AM6" s="149">
        <f>(('Dairy Manure Inventory'!U6*'Dairy Manure Inventory'!C6)/1000/1000000)*28</f>
        <v>2.6376176432199996</v>
      </c>
      <c r="AN6" s="149">
        <f>(('Dairy Manure Inventory'!AH6*'Dairy Manure Inventory'!D6)/1000/1000000)*28 + (('Dairy Manure Inventory'!AG6*('Dairy Manure Inventory'!E6+'Dairy Manure Inventory'!F6) )/1000/1000000)*28</f>
        <v>1.2042945111400484E-2</v>
      </c>
      <c r="AO6" s="149">
        <f>(( ('Dairy Manure Inventory'!AI6+'Dairy Manure Inventory'!AK6) * 'Dairy Manure Inventory'!C6)/1000/1000000)*265</f>
        <v>0.29629749374999997</v>
      </c>
      <c r="AP6" s="150">
        <f>(( ('Dairy Manure Inventory'!AJ6+'Dairy Manure Inventory'!AL6) * ('Dairy Manure Inventory'!D6+'Dairy Manure Inventory'!E6+'Dairy Manure Inventory'!F6) /1000/1000000)*265)</f>
        <v>0.17768704739999996</v>
      </c>
      <c r="AQ6" s="43">
        <f t="shared" si="9"/>
        <v>3.1236451294814001</v>
      </c>
    </row>
    <row r="7" spans="1:43" ht="15.75" customHeight="1">
      <c r="A7" s="109" t="s">
        <v>40</v>
      </c>
      <c r="B7" s="33" t="s">
        <v>147</v>
      </c>
      <c r="C7" s="131">
        <f>VLOOKUP(A7,'Dairy Animal Numbers, Mass, Mil'!$B$4:$H$51,2,FALSE)</f>
        <v>4000</v>
      </c>
      <c r="D7" s="125">
        <f>VLOOKUP($A7,'Dairy Animal Numbers, Mass, Mil'!$B$4:$F$52,3,FALSE)</f>
        <v>2000</v>
      </c>
      <c r="E7" s="125">
        <f>VLOOKUP($A7,'Dairy Animal Numbers, Mass, Mil'!$B$4:$F$52,4,FALSE)</f>
        <v>1000</v>
      </c>
      <c r="F7" s="125">
        <f>VLOOKUP($A7,'Dairy Animal Numbers, Mass, Mil'!$B$4:$F$52,5,FALSE)</f>
        <v>1000</v>
      </c>
      <c r="G7" s="142">
        <f>IF(B7="dairy cows",VLOOKUP(A7,'volatile solids and nex'!$B$4:$P$53,6,FALSE),0)</f>
        <v>2267</v>
      </c>
      <c r="H7" s="143">
        <f>IF(B7="dairy cows",VLOOKUP(A7,'volatile solids and nex'!$B$4:$P$53,14,FALSE),0)</f>
        <v>136</v>
      </c>
      <c r="I7" s="120">
        <v>0.24</v>
      </c>
      <c r="J7" s="33">
        <f>VLOOKUP(A7,'avg ann temp, manure EFs'!$B$3:$J$52,6,FALSE)</f>
        <v>1.5</v>
      </c>
      <c r="K7" s="33">
        <f>VLOOKUP(A7,'avg ann temp, manure EFs'!$B$3:$J$52,5,FALSE)</f>
        <v>40</v>
      </c>
      <c r="L7" s="33">
        <f>VLOOKUP(A7,'avg ann temp, manure EFs'!$B$3:$J$52,4,FALSE)</f>
        <v>76</v>
      </c>
      <c r="M7" s="33">
        <f>VLOOKUP(A7,'avg ann temp, manure EFs'!$B$3:$J$52,9,FALSE)</f>
        <v>50</v>
      </c>
      <c r="N7" s="33">
        <f>VLOOKUP(A7,'Dairy State Manure Mgmt'!$B$3:$I$52,4,FALSE)+VLOOKUP(A7,'Dairy State Manure Mgmt'!$B$3:$I$52,5,FALSE)</f>
        <v>14</v>
      </c>
      <c r="O7" s="33">
        <f>+VLOOKUP(A7,'Dairy State Manure Mgmt'!$B$3:$I$52,6,FALSE)+VLOOKUP(A7,'Dairy State Manure Mgmt'!$B$3:$I$52,8,FALSE)</f>
        <v>16</v>
      </c>
      <c r="P7" s="33">
        <f>+VLOOKUP(A7,'Dairy State Manure Mgmt'!$B$3:$I$52,7,FALSE)</f>
        <v>22</v>
      </c>
      <c r="Q7" s="33">
        <v>0</v>
      </c>
      <c r="R7" s="34">
        <f>VLOOKUP(A7,'Dairy State Manure Mgmt'!$B$3:$I$52,2,FALSE)+VLOOKUP(A7,'Dairy State Manure Mgmt'!$B$3:$I$52,3,FALSE)</f>
        <v>48</v>
      </c>
      <c r="S7" s="34">
        <f t="shared" si="0"/>
        <v>0</v>
      </c>
      <c r="T7" s="34">
        <f t="shared" si="1"/>
        <v>100</v>
      </c>
      <c r="U7" s="144">
        <f t="shared" si="2"/>
        <v>84.032473968000005</v>
      </c>
      <c r="V7" s="142">
        <f>(IF(B7="dairy cows",VLOOKUP(A7,'volatile solids and nex'!$B$4:$M$53,7,FALSE)) )</f>
        <v>1255</v>
      </c>
      <c r="W7" s="145">
        <f>IF(B7="dairy cows",VLOOKUP(A7,'volatile solids and nex'!$B$4:$M$54,5,FALSE)*('Dairy Animal Numbers, Mass, Mil'!$K$19/1000) ) * 365</f>
        <v>313.80447103200004</v>
      </c>
      <c r="X7" s="143">
        <f>IF(B7="dairy cows",VLOOKUP(A7,'volatile solids and nex'!$B$4:$P$53,15,FALSE),0)</f>
        <v>69</v>
      </c>
      <c r="Y7" s="33">
        <v>0.17</v>
      </c>
      <c r="Z7" s="34">
        <f>VLOOKUP($A7,'Dairy State Manure Mgmt'!$M$2:$Q$52,3,FALSE)</f>
        <v>38</v>
      </c>
      <c r="AA7" s="34">
        <f>VLOOKUP($A7,'Dairy State Manure Mgmt'!$M$2:$Q$52,4,FALSE)</f>
        <v>0</v>
      </c>
      <c r="AB7" s="34">
        <v>0</v>
      </c>
      <c r="AC7" s="34">
        <v>0</v>
      </c>
      <c r="AD7" s="34">
        <f>VLOOKUP($A7,'Dairy State Manure Mgmt'!$M$2:$Q$52,2,FALSE)+VLOOKUP($A7,'Dairy State Manure Mgmt'!$M$2:$Q$52,5,FALSE)</f>
        <v>62</v>
      </c>
      <c r="AE7" s="146">
        <f t="shared" si="3"/>
        <v>0</v>
      </c>
      <c r="AF7" s="146">
        <f t="shared" si="4"/>
        <v>100</v>
      </c>
      <c r="AG7" s="147">
        <f t="shared" si="5"/>
        <v>1.2166215478</v>
      </c>
      <c r="AH7" s="144">
        <f t="shared" si="6"/>
        <v>0.3042081922338743</v>
      </c>
      <c r="AI7" s="34">
        <f t="shared" si="7"/>
        <v>0.63919999999999999</v>
      </c>
      <c r="AJ7" s="34">
        <f t="shared" si="8"/>
        <v>0.52439999999999998</v>
      </c>
      <c r="AK7" s="148">
        <f>(H7 * 0.26 * 0.01 ) +            (H7 * ( ((VLOOKUP(A7,'avg ann temp, manure EFs'!$B$1:$AA$55,22,FALSE)/100*N7/100)+(VLOOKUP(A7,'avg ann temp, manure EFs'!$B$1:$AA$55,23,FALSE)/100*O7/100)+(VLOOKUP(A7,'avg ann temp, manure EFs'!$B$1:$AA$55,19,FALSE)/100*P7/100)+(0.05*R7/100) )  * 0.0075 ))</f>
        <v>0.53842400000000001</v>
      </c>
      <c r="AL7" s="148">
        <f>(X7 * 0.43 * 0.01 ) +            (X7 * ( ((VLOOKUP(A7,'avg ann temp, manure EFs'!$B$1:$AA$55,22,FALSE)/100*Z7/100)+(VLOOKUP(A7,'avg ann temp, manure EFs'!$B$1:$AA$55,23,FALSE)/100*AA7/100)+(VLOOKUP(A7,'avg ann temp, manure EFs'!$B$1:$AA$55,19,FALSE)/100*AB7/100)+(0.05*AD7/100) )  * 0.0075 ))</f>
        <v>0.34223999999999993</v>
      </c>
      <c r="AM7" s="149">
        <f>(('Dairy Manure Inventory'!U7*'Dairy Manure Inventory'!C7)/1000/1000000)*28</f>
        <v>9.4116370844160007E-3</v>
      </c>
      <c r="AN7" s="149">
        <f>(('Dairy Manure Inventory'!AH7*'Dairy Manure Inventory'!D7)/1000/1000000)*28 + (('Dairy Manure Inventory'!AG7*('Dairy Manure Inventory'!E7+'Dairy Manure Inventory'!F7) )/1000/1000000)*28</f>
        <v>8.5166465441896956E-5</v>
      </c>
      <c r="AO7" s="149">
        <f>(( ('Dairy Manure Inventory'!AI7+'Dairy Manure Inventory'!AK7) * 'Dairy Manure Inventory'!C7)/1000/1000000)*265</f>
        <v>1.2482814399999999E-3</v>
      </c>
      <c r="AP7" s="150">
        <f>(( ('Dairy Manure Inventory'!AJ7+'Dairy Manure Inventory'!AL7) * ('Dairy Manure Inventory'!D7+'Dairy Manure Inventory'!E7+'Dairy Manure Inventory'!F7) /1000/1000000)*265)</f>
        <v>9.1863839999999986E-4</v>
      </c>
      <c r="AQ7" s="43">
        <f t="shared" si="9"/>
        <v>1.1663723389857897E-2</v>
      </c>
    </row>
    <row r="8" spans="1:43" ht="15.75" customHeight="1">
      <c r="A8" s="109" t="s">
        <v>41</v>
      </c>
      <c r="B8" s="33" t="s">
        <v>147</v>
      </c>
      <c r="C8" s="131">
        <f>VLOOKUP(A8,'Dairy Animal Numbers, Mass, Mil'!$B$4:$H$51,2,FALSE)</f>
        <v>5000</v>
      </c>
      <c r="D8" s="125">
        <f>VLOOKUP($A8,'Dairy Animal Numbers, Mass, Mil'!$B$4:$F$52,3,FALSE)</f>
        <v>3000</v>
      </c>
      <c r="E8" s="125">
        <f>VLOOKUP($A8,'Dairy Animal Numbers, Mass, Mil'!$B$4:$F$52,4,FALSE)</f>
        <v>1000</v>
      </c>
      <c r="F8" s="125">
        <f>VLOOKUP($A8,'Dairy Animal Numbers, Mass, Mil'!$B$4:$F$52,5,FALSE)</f>
        <v>2000</v>
      </c>
      <c r="G8" s="142">
        <f>IF(B8="dairy cows",VLOOKUP(A8,'volatile solids and nex'!$B$4:$P$53,6,FALSE),0)</f>
        <v>2054</v>
      </c>
      <c r="H8" s="143">
        <f>IF(B8="dairy cows",VLOOKUP(A8,'volatile solids and nex'!$B$4:$P$53,14,FALSE),0)</f>
        <v>125</v>
      </c>
      <c r="I8" s="120">
        <v>0.24</v>
      </c>
      <c r="J8" s="33">
        <f>VLOOKUP(A8,'avg ann temp, manure EFs'!$B$3:$J$52,6,FALSE)</f>
        <v>1.5</v>
      </c>
      <c r="K8" s="33">
        <f>VLOOKUP(A8,'avg ann temp, manure EFs'!$B$3:$J$52,5,FALSE)</f>
        <v>35</v>
      </c>
      <c r="L8" s="33">
        <f>VLOOKUP(A8,'avg ann temp, manure EFs'!$B$3:$J$52,4,FALSE)</f>
        <v>75</v>
      </c>
      <c r="M8" s="33">
        <f>VLOOKUP(A8,'avg ann temp, manure EFs'!$B$3:$J$52,9,FALSE)</f>
        <v>50</v>
      </c>
      <c r="N8" s="33">
        <f>VLOOKUP(A8,'Dairy State Manure Mgmt'!$B$3:$I$52,4,FALSE)+VLOOKUP(A8,'Dairy State Manure Mgmt'!$B$3:$I$52,5,FALSE)</f>
        <v>13</v>
      </c>
      <c r="O8" s="33">
        <f>+VLOOKUP(A8,'Dairy State Manure Mgmt'!$B$3:$I$52,6,FALSE)+VLOOKUP(A8,'Dairy State Manure Mgmt'!$B$3:$I$52,8,FALSE)</f>
        <v>17</v>
      </c>
      <c r="P8" s="33">
        <f>+VLOOKUP(A8,'Dairy State Manure Mgmt'!$B$3:$I$52,7,FALSE)</f>
        <v>23</v>
      </c>
      <c r="Q8" s="33">
        <v>0</v>
      </c>
      <c r="R8" s="34">
        <f>VLOOKUP(A8,'Dairy State Manure Mgmt'!$B$3:$I$52,2,FALSE)+VLOOKUP(A8,'Dairy State Manure Mgmt'!$B$3:$I$52,3,FALSE)</f>
        <v>47</v>
      </c>
      <c r="S8" s="34">
        <f t="shared" si="0"/>
        <v>0</v>
      </c>
      <c r="T8" s="34">
        <f t="shared" si="1"/>
        <v>100</v>
      </c>
      <c r="U8" s="144">
        <f t="shared" si="2"/>
        <v>76.349339703999988</v>
      </c>
      <c r="V8" s="142">
        <f>(IF(B8="dairy cows",VLOOKUP(A8,'volatile solids and nex'!$B$4:$M$53,7,FALSE)) )</f>
        <v>1255</v>
      </c>
      <c r="W8" s="145">
        <f>IF(B8="dairy cows",VLOOKUP(A8,'volatile solids and nex'!$B$4:$M$54,5,FALSE)*('Dairy Animal Numbers, Mass, Mil'!$K$19/1000) ) * 365</f>
        <v>312.91044120000004</v>
      </c>
      <c r="X8" s="143">
        <f>IF(B8="dairy cows",VLOOKUP(A8,'volatile solids and nex'!$B$4:$P$53,15,FALSE),0)</f>
        <v>69</v>
      </c>
      <c r="Y8" s="33">
        <v>0.17</v>
      </c>
      <c r="Z8" s="34">
        <f>VLOOKUP($A8,'Dairy State Manure Mgmt'!$M$2:$Q$52,3,FALSE)</f>
        <v>28</v>
      </c>
      <c r="AA8" s="34">
        <f>VLOOKUP($A8,'Dairy State Manure Mgmt'!$M$2:$Q$52,4,FALSE)</f>
        <v>0</v>
      </c>
      <c r="AB8" s="34">
        <v>0</v>
      </c>
      <c r="AC8" s="34">
        <v>0</v>
      </c>
      <c r="AD8" s="34">
        <f>VLOOKUP($A8,'Dairy State Manure Mgmt'!$M$2:$Q$52,2,FALSE)+VLOOKUP($A8,'Dairy State Manure Mgmt'!$M$2:$Q$52,5,FALSE)</f>
        <v>72</v>
      </c>
      <c r="AE8" s="146">
        <f t="shared" si="3"/>
        <v>0</v>
      </c>
      <c r="AF8" s="146">
        <f t="shared" si="4"/>
        <v>100</v>
      </c>
      <c r="AG8" s="147">
        <f t="shared" si="5"/>
        <v>1.0711467168000002</v>
      </c>
      <c r="AH8" s="144">
        <f t="shared" si="6"/>
        <v>0.26707011294328253</v>
      </c>
      <c r="AI8" s="34">
        <f t="shared" si="7"/>
        <v>0.57499999999999996</v>
      </c>
      <c r="AJ8" s="34">
        <f t="shared" si="8"/>
        <v>0.38640000000000008</v>
      </c>
      <c r="AK8" s="148">
        <f>(H8 * 0.26 * 0.01 ) +            (H8 * ( ((VLOOKUP(A8,'avg ann temp, manure EFs'!$B$1:$AA$55,22,FALSE)/100*N8/100)+(VLOOKUP(A8,'avg ann temp, manure EFs'!$B$1:$AA$55,23,FALSE)/100*O8/100)+(VLOOKUP(A8,'avg ann temp, manure EFs'!$B$1:$AA$55,19,FALSE)/100*P8/100)+(0.05*R8/100) )  * 0.0075 ))</f>
        <v>0.49946875000000002</v>
      </c>
      <c r="AL8" s="148">
        <f>(X8 * 0.43 * 0.01 ) +            (X8 * ( ((VLOOKUP(A8,'avg ann temp, manure EFs'!$B$1:$AA$55,22,FALSE)/100*Z8/100)+(VLOOKUP(A8,'avg ann temp, manure EFs'!$B$1:$AA$55,23,FALSE)/100*AA8/100)+(VLOOKUP(A8,'avg ann temp, manure EFs'!$B$1:$AA$55,19,FALSE)/100*AB8/100)+(0.05*AD8/100) )  * 0.0075 ))</f>
        <v>0.33706499999999995</v>
      </c>
      <c r="AM8" s="149">
        <f>(('Dairy Manure Inventory'!U8*'Dairy Manure Inventory'!C8)/1000/1000000)*28</f>
        <v>1.0688907558559998E-2</v>
      </c>
      <c r="AN8" s="149">
        <f>(('Dairy Manure Inventory'!AH8*'Dairy Manure Inventory'!D8)/1000/1000000)*28 + (('Dairy Manure Inventory'!AG8*('Dairy Manure Inventory'!E8+'Dairy Manure Inventory'!F8) )/1000/1000000)*28</f>
        <v>1.1241021369843575E-4</v>
      </c>
      <c r="AO8" s="149">
        <f>(( ('Dairy Manure Inventory'!AI8+'Dairy Manure Inventory'!AK8) * 'Dairy Manure Inventory'!C8)/1000/1000000)*265</f>
        <v>1.4236710937499998E-3</v>
      </c>
      <c r="AP8" s="150">
        <f>(( ('Dairy Manure Inventory'!AJ8+'Dairy Manure Inventory'!AL8) * ('Dairy Manure Inventory'!D8+'Dairy Manure Inventory'!E8+'Dairy Manure Inventory'!F8) /1000/1000000)*265)</f>
        <v>1.1503093500000001E-3</v>
      </c>
      <c r="AQ8" s="43">
        <f t="shared" si="9"/>
        <v>1.3375298216008434E-2</v>
      </c>
    </row>
    <row r="9" spans="1:43" ht="15.75" customHeight="1">
      <c r="A9" s="109" t="s">
        <v>42</v>
      </c>
      <c r="B9" s="33" t="s">
        <v>147</v>
      </c>
      <c r="C9" s="131">
        <f>VLOOKUP(A9,'Dairy Animal Numbers, Mass, Mil'!$B$4:$H$51,2,FALSE)</f>
        <v>196000</v>
      </c>
      <c r="D9" s="125">
        <f>VLOOKUP($A9,'Dairy Animal Numbers, Mass, Mil'!$B$4:$F$52,3,FALSE)</f>
        <v>101000</v>
      </c>
      <c r="E9" s="125">
        <f>VLOOKUP($A9,'Dairy Animal Numbers, Mass, Mil'!$B$4:$F$52,4,FALSE)</f>
        <v>33000</v>
      </c>
      <c r="F9" s="125">
        <f>VLOOKUP($A9,'Dairy Animal Numbers, Mass, Mil'!$B$4:$F$52,5,FALSE)</f>
        <v>80000</v>
      </c>
      <c r="G9" s="142">
        <f>IF(B9="dairy cows",VLOOKUP(A9,'volatile solids and nex'!$B$4:$P$53,6,FALSE),0)</f>
        <v>2923</v>
      </c>
      <c r="H9" s="143">
        <f>IF(B9="dairy cows",VLOOKUP(A9,'volatile solids and nex'!$B$4:$P$53,14,FALSE),0)</f>
        <v>162</v>
      </c>
      <c r="I9" s="120">
        <v>0.24</v>
      </c>
      <c r="J9" s="33">
        <f>VLOOKUP(A9,'avg ann temp, manure EFs'!$B$3:$J$52,6,FALSE)</f>
        <v>1.5</v>
      </c>
      <c r="K9" s="33">
        <f>VLOOKUP(A9,'avg ann temp, manure EFs'!$B$3:$J$52,5,FALSE)</f>
        <v>64</v>
      </c>
      <c r="L9" s="33">
        <f>VLOOKUP(A9,'avg ann temp, manure EFs'!$B$3:$J$52,4,FALSE)</f>
        <v>81</v>
      </c>
      <c r="M9" s="33">
        <f>VLOOKUP(A9,'avg ann temp, manure EFs'!$B$3:$J$52,9,FALSE)</f>
        <v>50</v>
      </c>
      <c r="N9" s="33">
        <f>VLOOKUP(A9,'Dairy State Manure Mgmt'!$B$3:$I$52,4,FALSE)+VLOOKUP(A9,'Dairy State Manure Mgmt'!$B$3:$I$52,5,FALSE)</f>
        <v>53</v>
      </c>
      <c r="O9" s="33">
        <f>+VLOOKUP(A9,'Dairy State Manure Mgmt'!$B$3:$I$52,6,FALSE)+VLOOKUP(A9,'Dairy State Manure Mgmt'!$B$3:$I$52,8,FALSE)</f>
        <v>8</v>
      </c>
      <c r="P9" s="33">
        <f>+VLOOKUP(A9,'Dairy State Manure Mgmt'!$B$3:$I$52,7,FALSE)</f>
        <v>30</v>
      </c>
      <c r="Q9" s="33">
        <v>0</v>
      </c>
      <c r="R9" s="34">
        <f>VLOOKUP(A9,'Dairy State Manure Mgmt'!$B$3:$I$52,2,FALSE)+VLOOKUP(A9,'Dairy State Manure Mgmt'!$B$3:$I$52,3,FALSE)</f>
        <v>10</v>
      </c>
      <c r="S9" s="34">
        <f t="shared" si="0"/>
        <v>-1</v>
      </c>
      <c r="T9" s="34">
        <f t="shared" si="1"/>
        <v>101</v>
      </c>
      <c r="U9" s="144">
        <f t="shared" si="2"/>
        <v>140.32081541600002</v>
      </c>
      <c r="V9" s="142">
        <f>(IF(B9="dairy cows",VLOOKUP(A9,'volatile solids and nex'!$B$4:$M$53,7,FALSE)) )</f>
        <v>1255</v>
      </c>
      <c r="W9" s="145">
        <f>IF(B9="dairy cows",VLOOKUP(A9,'volatile solids and nex'!$B$4:$M$54,5,FALSE)*('Dairy Animal Numbers, Mass, Mil'!$K$19/1000) ) * 365</f>
        <v>403.20745423200003</v>
      </c>
      <c r="X9" s="143">
        <f>IF(B9="dairy cows",VLOOKUP(A9,'volatile solids and nex'!$B$4:$P$53,15,FALSE),0)</f>
        <v>69</v>
      </c>
      <c r="Y9" s="33">
        <v>0.17</v>
      </c>
      <c r="Z9" s="34">
        <f>VLOOKUP($A9,'Dairy State Manure Mgmt'!$M$2:$Q$52,3,FALSE)</f>
        <v>90</v>
      </c>
      <c r="AA9" s="34">
        <f>VLOOKUP($A9,'Dairy State Manure Mgmt'!$M$2:$Q$52,4,FALSE)</f>
        <v>0</v>
      </c>
      <c r="AB9" s="34">
        <v>0</v>
      </c>
      <c r="AC9" s="34">
        <v>0</v>
      </c>
      <c r="AD9" s="34">
        <f>VLOOKUP($A9,'Dairy State Manure Mgmt'!$M$2:$Q$52,2,FALSE)+VLOOKUP($A9,'Dairy State Manure Mgmt'!$M$2:$Q$52,5,FALSE)</f>
        <v>10</v>
      </c>
      <c r="AE9" s="146">
        <f t="shared" si="3"/>
        <v>0</v>
      </c>
      <c r="AF9" s="146">
        <f t="shared" si="4"/>
        <v>100</v>
      </c>
      <c r="AG9" s="147">
        <f t="shared" si="5"/>
        <v>1.9730906690000001</v>
      </c>
      <c r="AH9" s="144">
        <f t="shared" si="6"/>
        <v>0.63391622758279187</v>
      </c>
      <c r="AI9" s="34">
        <f t="shared" si="7"/>
        <v>2.0249999999999999</v>
      </c>
      <c r="AJ9" s="34">
        <f t="shared" si="8"/>
        <v>1.2420000000000002</v>
      </c>
      <c r="AK9" s="148">
        <f>(H9 * 0.26 * 0.01 ) +            (H9 * ( ((VLOOKUP(A9,'avg ann temp, manure EFs'!$B$1:$AA$55,22,FALSE)/100*N9/100)+(VLOOKUP(A9,'avg ann temp, manure EFs'!$B$1:$AA$55,23,FALSE)/100*O9/100)+(VLOOKUP(A9,'avg ann temp, manure EFs'!$B$1:$AA$55,19,FALSE)/100*P9/100)+(0.05*R9/100) )  * 0.0075 ))</f>
        <v>0.70587450000000007</v>
      </c>
      <c r="AL9" s="148">
        <f>(X9 * 0.43 * 0.01 ) +            (X9 * ( ((VLOOKUP(A9,'avg ann temp, manure EFs'!$B$1:$AA$55,22,FALSE)/100*Z9/100)+(VLOOKUP(A9,'avg ann temp, manure EFs'!$B$1:$AA$55,23,FALSE)/100*AA9/100)+(VLOOKUP(A9,'avg ann temp, manure EFs'!$B$1:$AA$55,19,FALSE)/100*AB9/100)+(0.05*AD9/100) )  * 0.0075 ))</f>
        <v>0.36914999999999998</v>
      </c>
      <c r="AM9" s="149">
        <f>(('Dairy Manure Inventory'!U9*'Dairy Manure Inventory'!C9)/1000/1000000)*28</f>
        <v>0.77008063500300805</v>
      </c>
      <c r="AN9" s="149">
        <f>(('Dairy Manure Inventory'!AH9*'Dairy Manure Inventory'!D9)/1000/1000000)*28 + (('Dairy Manure Inventory'!AG9*('Dairy Manure Inventory'!E9+'Dairy Manure Inventory'!F9) )/1000/1000000)*28</f>
        <v>8.0355739683201366E-3</v>
      </c>
      <c r="AO9" s="149">
        <f>(( ('Dairy Manure Inventory'!AI9+'Dairy Manure Inventory'!AK9) * 'Dairy Manure Inventory'!C9)/1000/1000000)*265</f>
        <v>0.14184162152999999</v>
      </c>
      <c r="AP9" s="150">
        <f>(( ('Dairy Manure Inventory'!AJ9+'Dairy Manure Inventory'!AL9) * ('Dairy Manure Inventory'!D9+'Dairy Manure Inventory'!E9+'Dairy Manure Inventory'!F9) /1000/1000000)*265)</f>
        <v>9.1368316500000019E-2</v>
      </c>
      <c r="AQ9" s="43">
        <f t="shared" si="9"/>
        <v>1.0113261470013282</v>
      </c>
    </row>
    <row r="10" spans="1:43" ht="15.75" customHeight="1">
      <c r="A10" s="109" t="s">
        <v>43</v>
      </c>
      <c r="B10" s="33" t="s">
        <v>147</v>
      </c>
      <c r="C10" s="131">
        <f>VLOOKUP(A10,'Dairy Animal Numbers, Mass, Mil'!$B$4:$H$51,2,FALSE)</f>
        <v>189000</v>
      </c>
      <c r="D10" s="125">
        <f>VLOOKUP($A10,'Dairy Animal Numbers, Mass, Mil'!$B$4:$F$52,3,FALSE)</f>
        <v>98000</v>
      </c>
      <c r="E10" s="125">
        <f>VLOOKUP($A10,'Dairy Animal Numbers, Mass, Mil'!$B$4:$F$52,4,FALSE)</f>
        <v>33000</v>
      </c>
      <c r="F10" s="125">
        <f>VLOOKUP($A10,'Dairy Animal Numbers, Mass, Mil'!$B$4:$F$52,5,FALSE)</f>
        <v>80000</v>
      </c>
      <c r="G10" s="142">
        <f>IF(B10="dairy cows",VLOOKUP(A10,'volatile solids and nex'!$B$4:$P$53,6,FALSE),0)</f>
        <v>3040</v>
      </c>
      <c r="H10" s="143">
        <f>IF(B10="dairy cows",VLOOKUP(A10,'volatile solids and nex'!$B$4:$P$53,14,FALSE),0)</f>
        <v>167</v>
      </c>
      <c r="I10" s="120">
        <v>0.24</v>
      </c>
      <c r="J10" s="33">
        <f>VLOOKUP(A10,'avg ann temp, manure EFs'!$B$3:$J$52,6,FALSE)</f>
        <v>1</v>
      </c>
      <c r="K10" s="33">
        <f>VLOOKUP(A10,'avg ann temp, manure EFs'!$B$3:$J$52,5,FALSE)</f>
        <v>23</v>
      </c>
      <c r="L10" s="33">
        <f>VLOOKUP(A10,'avg ann temp, manure EFs'!$B$3:$J$52,4,FALSE)</f>
        <v>70</v>
      </c>
      <c r="M10" s="33">
        <f>VLOOKUP(A10,'avg ann temp, manure EFs'!$B$3:$J$52,9,FALSE)</f>
        <v>50</v>
      </c>
      <c r="N10" s="33">
        <f>VLOOKUP(A10,'Dairy State Manure Mgmt'!$B$3:$I$52,4,FALSE)+VLOOKUP(A10,'Dairy State Manure Mgmt'!$B$3:$I$52,5,FALSE)</f>
        <v>52</v>
      </c>
      <c r="O10" s="33">
        <f>+VLOOKUP(A10,'Dairy State Manure Mgmt'!$B$3:$I$52,6,FALSE)+VLOOKUP(A10,'Dairy State Manure Mgmt'!$B$3:$I$52,8,FALSE)</f>
        <v>7</v>
      </c>
      <c r="P10" s="33">
        <f>+VLOOKUP(A10,'Dairy State Manure Mgmt'!$B$3:$I$52,7,FALSE)</f>
        <v>30</v>
      </c>
      <c r="Q10" s="33">
        <v>0</v>
      </c>
      <c r="R10" s="34">
        <f>VLOOKUP(A10,'Dairy State Manure Mgmt'!$B$3:$I$52,2,FALSE)+VLOOKUP(A10,'Dairy State Manure Mgmt'!$B$3:$I$52,3,FALSE)</f>
        <v>11</v>
      </c>
      <c r="S10" s="34">
        <f t="shared" si="0"/>
        <v>0</v>
      </c>
      <c r="T10" s="34">
        <f t="shared" si="1"/>
        <v>100</v>
      </c>
      <c r="U10" s="144">
        <f t="shared" si="2"/>
        <v>111.71730676000001</v>
      </c>
      <c r="V10" s="142">
        <f>(IF(B10="dairy cows",VLOOKUP(A10,'volatile solids and nex'!$B$4:$M$53,7,FALSE)) )</f>
        <v>1255</v>
      </c>
      <c r="W10" s="145">
        <f>IF(B10="dairy cows",VLOOKUP(A10,'volatile solids and nex'!$B$4:$M$54,5,FALSE)*('Dairy Animal Numbers, Mass, Mil'!$K$19/1000) ) * 365</f>
        <v>288.77163573600001</v>
      </c>
      <c r="X10" s="143">
        <f>IF(B10="dairy cows",VLOOKUP(A10,'volatile solids and nex'!$B$4:$P$53,15,FALSE),0)</f>
        <v>69</v>
      </c>
      <c r="Y10" s="33">
        <v>0.17</v>
      </c>
      <c r="Z10" s="34">
        <f>VLOOKUP($A10,'Dairy State Manure Mgmt'!$M$2:$Q$52,3,FALSE)</f>
        <v>98</v>
      </c>
      <c r="AA10" s="34">
        <f>VLOOKUP($A10,'Dairy State Manure Mgmt'!$M$2:$Q$52,4,FALSE)</f>
        <v>0</v>
      </c>
      <c r="AB10" s="34">
        <v>0</v>
      </c>
      <c r="AC10" s="34">
        <v>0</v>
      </c>
      <c r="AD10" s="34">
        <f>VLOOKUP($A10,'Dairy State Manure Mgmt'!$M$2:$Q$52,2,FALSE)+VLOOKUP($A10,'Dairy State Manure Mgmt'!$M$2:$Q$52,5,FALSE)</f>
        <v>2</v>
      </c>
      <c r="AE10" s="146">
        <f t="shared" si="3"/>
        <v>0</v>
      </c>
      <c r="AF10" s="146">
        <f t="shared" si="4"/>
        <v>100</v>
      </c>
      <c r="AG10" s="147">
        <f t="shared" si="5"/>
        <v>1.3974058038000001</v>
      </c>
      <c r="AH10" s="144">
        <f t="shared" si="6"/>
        <v>0.32153877270940712</v>
      </c>
      <c r="AI10" s="34">
        <f t="shared" si="7"/>
        <v>2.04575</v>
      </c>
      <c r="AJ10" s="34">
        <f t="shared" si="8"/>
        <v>1.3524</v>
      </c>
      <c r="AK10" s="148">
        <f>(H10 * 0.26 * 0.01 ) +            (H10 * ( ((VLOOKUP(A10,'avg ann temp, manure EFs'!$B$1:$AA$55,22,FALSE)/100*N10/100)+(VLOOKUP(A10,'avg ann temp, manure EFs'!$B$1:$AA$55,23,FALSE)/100*O10/100)+(VLOOKUP(A10,'avg ann temp, manure EFs'!$B$1:$AA$55,19,FALSE)/100*P10/100)+(0.05*R10/100) )  * 0.0075 ))</f>
        <v>0.72315174999999998</v>
      </c>
      <c r="AL10" s="148">
        <f>(X10 * 0.43 * 0.01 ) +            (X10 * ( ((VLOOKUP(A10,'avg ann temp, manure EFs'!$B$1:$AA$55,22,FALSE)/100*Z10/100)+(VLOOKUP(A10,'avg ann temp, manure EFs'!$B$1:$AA$55,23,FALSE)/100*AA10/100)+(VLOOKUP(A10,'avg ann temp, manure EFs'!$B$1:$AA$55,19,FALSE)/100*AB10/100)+(0.05*AD10/100) )  * 0.0075 ))</f>
        <v>0.37328999999999996</v>
      </c>
      <c r="AM10" s="149">
        <f>(('Dairy Manure Inventory'!U10*'Dairy Manure Inventory'!C10)/1000/1000000)*28</f>
        <v>0.59120798737392011</v>
      </c>
      <c r="AN10" s="149">
        <f>(('Dairy Manure Inventory'!AH10*'Dairy Manure Inventory'!D10)/1000/1000000)*28 + (('Dairy Manure Inventory'!AG10*('Dairy Manure Inventory'!E10+'Dairy Manure Inventory'!F10) )/1000/1000000)*28</f>
        <v>5.303694355537813E-3</v>
      </c>
      <c r="AO10" s="149">
        <f>(( ('Dairy Manure Inventory'!AI10+'Dairy Manure Inventory'!AK10) * 'Dairy Manure Inventory'!C10)/1000/1000000)*265</f>
        <v>0.13868044414875</v>
      </c>
      <c r="AP10" s="150">
        <f>(( ('Dairy Manure Inventory'!AJ10+'Dairy Manure Inventory'!AL10) * ('Dairy Manure Inventory'!D10+'Dairy Manure Inventory'!E10+'Dairy Manure Inventory'!F10) /1000/1000000)*265)</f>
        <v>9.6491956349999991E-2</v>
      </c>
      <c r="AQ10" s="43">
        <f t="shared" si="9"/>
        <v>0.83168408222820789</v>
      </c>
    </row>
    <row r="11" spans="1:43" ht="15.75" customHeight="1">
      <c r="A11" s="109" t="s">
        <v>44</v>
      </c>
      <c r="B11" s="33" t="s">
        <v>147</v>
      </c>
      <c r="C11" s="131">
        <f>VLOOKUP(A11,'Dairy Animal Numbers, Mass, Mil'!$B$4:$H$51,2,FALSE)</f>
        <v>20000</v>
      </c>
      <c r="D11" s="125">
        <f>VLOOKUP($A11,'Dairy Animal Numbers, Mass, Mil'!$B$4:$F$52,3,FALSE)</f>
        <v>10000</v>
      </c>
      <c r="E11" s="125">
        <f>VLOOKUP($A11,'Dairy Animal Numbers, Mass, Mil'!$B$4:$F$52,4,FALSE)</f>
        <v>3000</v>
      </c>
      <c r="F11" s="125">
        <f>VLOOKUP($A11,'Dairy Animal Numbers, Mass, Mil'!$B$4:$F$52,5,FALSE)</f>
        <v>7000</v>
      </c>
      <c r="G11" s="142">
        <f>IF(B11="dairy cows",VLOOKUP(A11,'volatile solids and nex'!$B$4:$P$53,6,FALSE),0)</f>
        <v>2810</v>
      </c>
      <c r="H11" s="143">
        <f>IF(B11="dairy cows",VLOOKUP(A11,'volatile solids and nex'!$B$4:$P$53,14,FALSE),0)</f>
        <v>157</v>
      </c>
      <c r="I11" s="120">
        <v>0.24</v>
      </c>
      <c r="J11" s="33">
        <f>VLOOKUP(A11,'avg ann temp, manure EFs'!$B$3:$J$52,6,FALSE)</f>
        <v>1</v>
      </c>
      <c r="K11" s="33">
        <f>VLOOKUP(A11,'avg ann temp, manure EFs'!$B$3:$J$52,5,FALSE)</f>
        <v>26</v>
      </c>
      <c r="L11" s="33">
        <f>VLOOKUP(A11,'avg ann temp, manure EFs'!$B$3:$J$52,4,FALSE)</f>
        <v>71</v>
      </c>
      <c r="M11" s="33">
        <f>VLOOKUP(A11,'avg ann temp, manure EFs'!$B$3:$J$52,9,FALSE)</f>
        <v>50</v>
      </c>
      <c r="N11" s="33">
        <f>VLOOKUP(A11,'Dairy State Manure Mgmt'!$B$3:$I$52,4,FALSE)+VLOOKUP(A11,'Dairy State Manure Mgmt'!$B$3:$I$52,5,FALSE)</f>
        <v>16</v>
      </c>
      <c r="O11" s="33">
        <f>+VLOOKUP(A11,'Dairy State Manure Mgmt'!$B$3:$I$52,6,FALSE)+VLOOKUP(A11,'Dairy State Manure Mgmt'!$B$3:$I$52,8,FALSE)</f>
        <v>34</v>
      </c>
      <c r="P11" s="33">
        <f>+VLOOKUP(A11,'Dairy State Manure Mgmt'!$B$3:$I$52,7,FALSE)</f>
        <v>33</v>
      </c>
      <c r="Q11" s="33">
        <v>0</v>
      </c>
      <c r="R11" s="34">
        <f>VLOOKUP(A11,'Dairy State Manure Mgmt'!$B$3:$I$52,2,FALSE)+VLOOKUP(A11,'Dairy State Manure Mgmt'!$B$3:$I$52,3,FALSE)</f>
        <v>18</v>
      </c>
      <c r="S11" s="34">
        <f t="shared" si="0"/>
        <v>-1</v>
      </c>
      <c r="T11" s="34">
        <f t="shared" si="1"/>
        <v>101</v>
      </c>
      <c r="U11" s="144">
        <f t="shared" si="2"/>
        <v>144.78548903999999</v>
      </c>
      <c r="V11" s="142">
        <f>(IF(B11="dairy cows",VLOOKUP(A11,'volatile solids and nex'!$B$4:$M$53,7,FALSE)) )</f>
        <v>1255</v>
      </c>
      <c r="W11" s="145">
        <f>IF(B11="dairy cows",VLOOKUP(A11,'volatile solids and nex'!$B$4:$M$54,5,FALSE)*('Dairy Animal Numbers, Mass, Mil'!$K$19/1000) ) * 365</f>
        <v>308.44029204000003</v>
      </c>
      <c r="X11" s="143">
        <f>IF(B11="dairy cows",VLOOKUP(A11,'volatile solids and nex'!$B$4:$P$53,15,FALSE),0)</f>
        <v>69</v>
      </c>
      <c r="Y11" s="33">
        <v>0.17</v>
      </c>
      <c r="Z11" s="34">
        <f>VLOOKUP($A11,'Dairy State Manure Mgmt'!$M$2:$Q$52,3,FALSE)</f>
        <v>51</v>
      </c>
      <c r="AA11" s="34">
        <f>VLOOKUP($A11,'Dairy State Manure Mgmt'!$M$2:$Q$52,4,FALSE)</f>
        <v>0</v>
      </c>
      <c r="AB11" s="34">
        <v>0</v>
      </c>
      <c r="AC11" s="34">
        <v>0</v>
      </c>
      <c r="AD11" s="34">
        <f>VLOOKUP($A11,'Dairy State Manure Mgmt'!$M$2:$Q$52,2,FALSE)+VLOOKUP($A11,'Dairy State Manure Mgmt'!$M$2:$Q$52,5,FALSE)</f>
        <v>49</v>
      </c>
      <c r="AE11" s="146">
        <f t="shared" si="3"/>
        <v>0</v>
      </c>
      <c r="AF11" s="146">
        <f t="shared" si="4"/>
        <v>100</v>
      </c>
      <c r="AG11" s="147">
        <f t="shared" si="5"/>
        <v>1.0455826931000003</v>
      </c>
      <c r="AH11" s="144">
        <f t="shared" si="6"/>
        <v>0.25697197706114244</v>
      </c>
      <c r="AI11" s="34">
        <f t="shared" si="7"/>
        <v>1.0283500000000001</v>
      </c>
      <c r="AJ11" s="34">
        <f t="shared" si="8"/>
        <v>0.70380000000000009</v>
      </c>
      <c r="AK11" s="148">
        <f>(H11 * 0.26 * 0.01 ) +            (H11 * ( ((VLOOKUP(A11,'avg ann temp, manure EFs'!$B$1:$AA$55,22,FALSE)/100*N11/100)+(VLOOKUP(A11,'avg ann temp, manure EFs'!$B$1:$AA$55,23,FALSE)/100*O11/100)+(VLOOKUP(A11,'avg ann temp, manure EFs'!$B$1:$AA$55,19,FALSE)/100*P11/100)+(0.05*R11/100) )  * 0.0075 ))</f>
        <v>0.71823575000000006</v>
      </c>
      <c r="AL11" s="148">
        <f>(X11 * 0.43 * 0.01 ) +            (X11 * ( ((VLOOKUP(A11,'avg ann temp, manure EFs'!$B$1:$AA$55,22,FALSE)/100*Z11/100)+(VLOOKUP(A11,'avg ann temp, manure EFs'!$B$1:$AA$55,23,FALSE)/100*AA11/100)+(VLOOKUP(A11,'avg ann temp, manure EFs'!$B$1:$AA$55,19,FALSE)/100*AB11/100)+(0.05*AD11/100) )  * 0.0075 ))</f>
        <v>0.34896749999999999</v>
      </c>
      <c r="AM11" s="149">
        <f>(('Dairy Manure Inventory'!U11*'Dairy Manure Inventory'!C11)/1000/1000000)*28</f>
        <v>8.1079873862399995E-2</v>
      </c>
      <c r="AN11" s="149">
        <f>(('Dairy Manure Inventory'!AH11*'Dairy Manure Inventory'!D11)/1000/1000000)*28 + (('Dairy Manure Inventory'!AG11*('Dairy Manure Inventory'!E11+'Dairy Manure Inventory'!F11) )/1000/1000000)*28</f>
        <v>3.6471530764511998E-4</v>
      </c>
      <c r="AO11" s="149">
        <f>(( ('Dairy Manure Inventory'!AI11+'Dairy Manure Inventory'!AK11) * 'Dairy Manure Inventory'!C11)/1000/1000000)*265</f>
        <v>9.256904475000001E-3</v>
      </c>
      <c r="AP11" s="150">
        <f>(( ('Dairy Manure Inventory'!AJ11+'Dairy Manure Inventory'!AL11) * ('Dairy Manure Inventory'!D11+'Dairy Manure Inventory'!E11+'Dairy Manure Inventory'!F11) /1000/1000000)*265)</f>
        <v>5.5796677500000004E-3</v>
      </c>
      <c r="AQ11" s="43">
        <f t="shared" si="9"/>
        <v>9.6281161395045126E-2</v>
      </c>
    </row>
    <row r="12" spans="1:43" ht="15.75" customHeight="1">
      <c r="A12" s="109" t="s">
        <v>45</v>
      </c>
      <c r="B12" s="33" t="s">
        <v>147</v>
      </c>
      <c r="C12" s="131">
        <f>VLOOKUP(A12,'Dairy Animal Numbers, Mass, Mil'!$B$4:$H$51,2,FALSE)</f>
        <v>4000</v>
      </c>
      <c r="D12" s="125">
        <f>VLOOKUP($A12,'Dairy Animal Numbers, Mass, Mil'!$B$4:$F$52,3,FALSE)</f>
        <v>2000</v>
      </c>
      <c r="E12" s="125">
        <f>VLOOKUP($A12,'Dairy Animal Numbers, Mass, Mil'!$B$4:$F$52,4,FALSE)</f>
        <v>1000</v>
      </c>
      <c r="F12" s="125">
        <f>VLOOKUP($A12,'Dairy Animal Numbers, Mass, Mil'!$B$4:$F$52,5,FALSE)</f>
        <v>1000</v>
      </c>
      <c r="G12" s="142">
        <f>IF(B12="dairy cows",VLOOKUP(A12,'volatile solids and nex'!$B$4:$P$53,6,FALSE),0)</f>
        <v>2476</v>
      </c>
      <c r="H12" s="143">
        <f>IF(B12="dairy cows",VLOOKUP(A12,'volatile solids and nex'!$B$4:$P$53,14,FALSE),0)</f>
        <v>143</v>
      </c>
      <c r="I12" s="120">
        <v>0.24</v>
      </c>
      <c r="J12" s="33">
        <f>VLOOKUP(A12,'avg ann temp, manure EFs'!$B$3:$J$52,6,FALSE)</f>
        <v>1</v>
      </c>
      <c r="K12" s="33">
        <f>VLOOKUP(A12,'avg ann temp, manure EFs'!$B$3:$J$52,5,FALSE)</f>
        <v>34</v>
      </c>
      <c r="L12" s="33">
        <f>VLOOKUP(A12,'avg ann temp, manure EFs'!$B$3:$J$52,4,FALSE)</f>
        <v>75</v>
      </c>
      <c r="M12" s="33">
        <f>VLOOKUP(A12,'avg ann temp, manure EFs'!$B$3:$J$52,9,FALSE)</f>
        <v>50</v>
      </c>
      <c r="N12" s="33">
        <f>VLOOKUP(A12,'Dairy State Manure Mgmt'!$B$3:$I$52,4,FALSE)+VLOOKUP(A12,'Dairy State Manure Mgmt'!$B$3:$I$52,5,FALSE)</f>
        <v>18</v>
      </c>
      <c r="O12" s="33">
        <f>+VLOOKUP(A12,'Dairy State Manure Mgmt'!$B$3:$I$52,6,FALSE)+VLOOKUP(A12,'Dairy State Manure Mgmt'!$B$3:$I$52,8,FALSE)</f>
        <v>38</v>
      </c>
      <c r="P12" s="33">
        <f>+VLOOKUP(A12,'Dairy State Manure Mgmt'!$B$3:$I$52,7,FALSE)</f>
        <v>29</v>
      </c>
      <c r="Q12" s="33">
        <v>0</v>
      </c>
      <c r="R12" s="34">
        <f>VLOOKUP(A12,'Dairy State Manure Mgmt'!$B$3:$I$52,2,FALSE)+VLOOKUP(A12,'Dairy State Manure Mgmt'!$B$3:$I$52,3,FALSE)</f>
        <v>16</v>
      </c>
      <c r="S12" s="34">
        <f t="shared" si="0"/>
        <v>-1</v>
      </c>
      <c r="T12" s="34">
        <f t="shared" si="1"/>
        <v>101</v>
      </c>
      <c r="U12" s="144">
        <f t="shared" si="2"/>
        <v>137.09607968000003</v>
      </c>
      <c r="V12" s="142">
        <f>(IF(B12="dairy cows",VLOOKUP(A12,'volatile solids and nex'!$B$4:$M$53,7,FALSE)) )</f>
        <v>1255</v>
      </c>
      <c r="W12" s="145">
        <f>IF(B12="dairy cows",VLOOKUP(A12,'volatile solids and nex'!$B$4:$M$54,5,FALSE)*('Dairy Animal Numbers, Mass, Mil'!$K$19/1000) ) * 365</f>
        <v>308.44029204000003</v>
      </c>
      <c r="X12" s="143">
        <f>IF(B12="dairy cows",VLOOKUP(A12,'volatile solids and nex'!$B$4:$P$53,15,FALSE),0)</f>
        <v>69</v>
      </c>
      <c r="Y12" s="33">
        <v>0.17</v>
      </c>
      <c r="Z12" s="34">
        <f>VLOOKUP($A12,'Dairy State Manure Mgmt'!$M$2:$Q$52,3,FALSE)</f>
        <v>50</v>
      </c>
      <c r="AA12" s="34">
        <f>VLOOKUP($A12,'Dairy State Manure Mgmt'!$M$2:$Q$52,4,FALSE)</f>
        <v>0</v>
      </c>
      <c r="AB12" s="34">
        <v>0</v>
      </c>
      <c r="AC12" s="34">
        <v>0</v>
      </c>
      <c r="AD12" s="34">
        <f>VLOOKUP($A12,'Dairy State Manure Mgmt'!$M$2:$Q$52,2,FALSE)+VLOOKUP($A12,'Dairy State Manure Mgmt'!$M$2:$Q$52,5,FALSE)</f>
        <v>50</v>
      </c>
      <c r="AE12" s="146">
        <f t="shared" si="3"/>
        <v>0</v>
      </c>
      <c r="AF12" s="146">
        <f t="shared" si="4"/>
        <v>100</v>
      </c>
      <c r="AG12" s="147">
        <f t="shared" si="5"/>
        <v>1.0380970950000001</v>
      </c>
      <c r="AH12" s="144">
        <f t="shared" si="6"/>
        <v>0.25513224792643485</v>
      </c>
      <c r="AI12" s="34">
        <f t="shared" si="7"/>
        <v>0.9938499999999999</v>
      </c>
      <c r="AJ12" s="34">
        <f t="shared" si="8"/>
        <v>0.69000000000000006</v>
      </c>
      <c r="AK12" s="148">
        <f>(H12 * 0.26 * 0.01 ) +            (H12 * ( ((VLOOKUP(A12,'avg ann temp, manure EFs'!$B$1:$AA$55,22,FALSE)/100*N12/100)+(VLOOKUP(A12,'avg ann temp, manure EFs'!$B$1:$AA$55,23,FALSE)/100*O12/100)+(VLOOKUP(A12,'avg ann temp, manure EFs'!$B$1:$AA$55,19,FALSE)/100*P12/100)+(0.05*R12/100) )  * 0.0075 ))</f>
        <v>0.64904125000000001</v>
      </c>
      <c r="AL12" s="148">
        <f>(X12 * 0.43 * 0.01 ) +            (X12 * ( ((VLOOKUP(A12,'avg ann temp, manure EFs'!$B$1:$AA$55,22,FALSE)/100*Z12/100)+(VLOOKUP(A12,'avg ann temp, manure EFs'!$B$1:$AA$55,23,FALSE)/100*AA12/100)+(VLOOKUP(A12,'avg ann temp, manure EFs'!$B$1:$AA$55,19,FALSE)/100*AB12/100)+(0.05*AD12/100) )  * 0.0075 ))</f>
        <v>0.34844999999999998</v>
      </c>
      <c r="AM12" s="149">
        <f>(('Dairy Manure Inventory'!U12*'Dairy Manure Inventory'!C12)/1000/1000000)*28</f>
        <v>1.5354760924160004E-2</v>
      </c>
      <c r="AN12" s="149">
        <f>(('Dairy Manure Inventory'!AH12*'Dairy Manure Inventory'!D12)/1000/1000000)*28 + (('Dairy Manure Inventory'!AG12*('Dairy Manure Inventory'!E12+'Dairy Manure Inventory'!F12) )/1000/1000000)*28</f>
        <v>7.2420843203880363E-5</v>
      </c>
      <c r="AO12" s="149">
        <f>(( ('Dairy Manure Inventory'!AI12+'Dairy Manure Inventory'!AK12) * 'Dairy Manure Inventory'!C12)/1000/1000000)*265</f>
        <v>1.741464725E-3</v>
      </c>
      <c r="AP12" s="150">
        <f>(( ('Dairy Manure Inventory'!AJ12+'Dairy Manure Inventory'!AL12) * ('Dairy Manure Inventory'!D12+'Dairy Manure Inventory'!E12+'Dairy Manure Inventory'!F12) /1000/1000000)*265)</f>
        <v>1.1007570000000002E-3</v>
      </c>
      <c r="AQ12" s="43">
        <f t="shared" si="9"/>
        <v>1.8269403492363886E-2</v>
      </c>
    </row>
    <row r="13" spans="1:43" ht="15.75" customHeight="1">
      <c r="A13" s="109" t="s">
        <v>46</v>
      </c>
      <c r="B13" s="33" t="s">
        <v>147</v>
      </c>
      <c r="C13" s="131">
        <f>VLOOKUP(A13,'Dairy Animal Numbers, Mass, Mil'!$B$4:$H$51,2,FALSE)</f>
        <v>116000</v>
      </c>
      <c r="D13" s="125">
        <f>VLOOKUP($A13,'Dairy Animal Numbers, Mass, Mil'!$B$4:$F$52,3,FALSE)</f>
        <v>60000</v>
      </c>
      <c r="E13" s="125">
        <f>VLOOKUP($A13,'Dairy Animal Numbers, Mass, Mil'!$B$4:$F$52,4,FALSE)</f>
        <v>10000</v>
      </c>
      <c r="F13" s="125">
        <f>VLOOKUP($A13,'Dairy Animal Numbers, Mass, Mil'!$B$4:$F$52,5,FALSE)</f>
        <v>24000</v>
      </c>
      <c r="G13" s="142">
        <f>IF(B13="dairy cows",VLOOKUP(A13,'volatile solids and nex'!$B$4:$P$53,6,FALSE),0)</f>
        <v>2657</v>
      </c>
      <c r="H13" s="143">
        <f>IF(B13="dairy cows",VLOOKUP(A13,'volatile solids and nex'!$B$4:$P$53,14,FALSE),0)</f>
        <v>152</v>
      </c>
      <c r="I13" s="120">
        <v>0.24</v>
      </c>
      <c r="J13" s="33">
        <f>VLOOKUP(A13,'avg ann temp, manure EFs'!$B$3:$J$52,6,FALSE)</f>
        <v>1.5</v>
      </c>
      <c r="K13" s="33">
        <f>VLOOKUP(A13,'avg ann temp, manure EFs'!$B$3:$J$52,5,FALSE)</f>
        <v>60</v>
      </c>
      <c r="L13" s="33">
        <f>VLOOKUP(A13,'avg ann temp, manure EFs'!$B$3:$J$52,4,FALSE)</f>
        <v>78</v>
      </c>
      <c r="M13" s="33">
        <f>VLOOKUP(A13,'avg ann temp, manure EFs'!$B$3:$J$52,9,FALSE)</f>
        <v>50</v>
      </c>
      <c r="N13" s="33">
        <f>VLOOKUP(A13,'Dairy State Manure Mgmt'!$B$3:$I$52,4,FALSE)+VLOOKUP(A13,'Dairy State Manure Mgmt'!$B$3:$I$52,5,FALSE)</f>
        <v>7</v>
      </c>
      <c r="O13" s="33">
        <f>+VLOOKUP(A13,'Dairy State Manure Mgmt'!$B$3:$I$52,6,FALSE)+VLOOKUP(A13,'Dairy State Manure Mgmt'!$B$3:$I$52,8,FALSE)</f>
        <v>4</v>
      </c>
      <c r="P13" s="33">
        <f>+VLOOKUP(A13,'Dairy State Manure Mgmt'!$B$3:$I$52,7,FALSE)</f>
        <v>40</v>
      </c>
      <c r="Q13" s="33">
        <v>0</v>
      </c>
      <c r="R13" s="34">
        <f>VLOOKUP(A13,'Dairy State Manure Mgmt'!$B$3:$I$52,2,FALSE)+VLOOKUP(A13,'Dairy State Manure Mgmt'!$B$3:$I$52,3,FALSE)</f>
        <v>48</v>
      </c>
      <c r="S13" s="34">
        <f t="shared" si="0"/>
        <v>1</v>
      </c>
      <c r="T13" s="34">
        <f t="shared" si="1"/>
        <v>99</v>
      </c>
      <c r="U13" s="144">
        <f t="shared" si="2"/>
        <v>142.28594512800004</v>
      </c>
      <c r="V13" s="142">
        <f>(IF(B13="dairy cows",VLOOKUP(A13,'volatile solids and nex'!$B$4:$M$53,7,FALSE)) )</f>
        <v>1255</v>
      </c>
      <c r="W13" s="145">
        <f>IF(B13="dairy cows",VLOOKUP(A13,'volatile solids and nex'!$B$4:$M$54,5,FALSE)*('Dairy Animal Numbers, Mass, Mil'!$K$19/1000) ) * 365</f>
        <v>313.80447103200004</v>
      </c>
      <c r="X13" s="143">
        <f>IF(B13="dairy cows",VLOOKUP(A13,'volatile solids and nex'!$B$4:$P$53,15,FALSE),0)</f>
        <v>69</v>
      </c>
      <c r="Y13" s="33">
        <v>0.17</v>
      </c>
      <c r="Z13" s="34">
        <f>VLOOKUP($A13,'Dairy State Manure Mgmt'!$M$2:$Q$52,3,FALSE)</f>
        <v>61</v>
      </c>
      <c r="AA13" s="34">
        <f>VLOOKUP($A13,'Dairy State Manure Mgmt'!$M$2:$Q$52,4,FALSE)</f>
        <v>1</v>
      </c>
      <c r="AB13" s="34">
        <v>0</v>
      </c>
      <c r="AC13" s="34">
        <v>0</v>
      </c>
      <c r="AD13" s="34">
        <f>VLOOKUP($A13,'Dairy State Manure Mgmt'!$M$2:$Q$52,2,FALSE)+VLOOKUP($A13,'Dairy State Manure Mgmt'!$M$2:$Q$52,5,FALSE)</f>
        <v>39</v>
      </c>
      <c r="AE13" s="146">
        <f t="shared" si="3"/>
        <v>-1</v>
      </c>
      <c r="AF13" s="146">
        <f t="shared" si="4"/>
        <v>101</v>
      </c>
      <c r="AG13" s="147">
        <f t="shared" si="5"/>
        <v>2.3986398591000002</v>
      </c>
      <c r="AH13" s="144">
        <f t="shared" si="6"/>
        <v>0.59976407345111293</v>
      </c>
      <c r="AI13" s="34">
        <f t="shared" si="7"/>
        <v>0.54720000000000002</v>
      </c>
      <c r="AJ13" s="34">
        <f t="shared" si="8"/>
        <v>0.84524999999999995</v>
      </c>
      <c r="AK13" s="148">
        <f>(H13 * 0.26 * 0.01 ) +            (H13 * ( ((VLOOKUP(A13,'avg ann temp, manure EFs'!$B$1:$AA$55,22,FALSE)/100*N13/100)+(VLOOKUP(A13,'avg ann temp, manure EFs'!$B$1:$AA$55,23,FALSE)/100*O13/100)+(VLOOKUP(A13,'avg ann temp, manure EFs'!$B$1:$AA$55,19,FALSE)/100*P13/100)+(0.05*R13/100) )  * 0.0075 ))</f>
        <v>0.64246599999999998</v>
      </c>
      <c r="AL13" s="148">
        <f>(X13 * 0.43 * 0.01 ) +            (X13 * ( ((VLOOKUP(A13,'avg ann temp, manure EFs'!$B$1:$AA$55,22,FALSE)/100*Z13/100)+(VLOOKUP(A13,'avg ann temp, manure EFs'!$B$1:$AA$55,23,FALSE)/100*AA13/100)+(VLOOKUP(A13,'avg ann temp, manure EFs'!$B$1:$AA$55,19,FALSE)/100*AB13/100)+(0.05*AD13/100) )  * 0.0075 ))</f>
        <v>0.35548799999999997</v>
      </c>
      <c r="AM13" s="149">
        <f>(('Dairy Manure Inventory'!U13*'Dairy Manure Inventory'!C13)/1000/1000000)*28</f>
        <v>0.4621447497757441</v>
      </c>
      <c r="AN13" s="149">
        <f>(('Dairy Manure Inventory'!AH13*'Dairy Manure Inventory'!D13)/1000/1000000)*28 + (('Dairy Manure Inventory'!AG13*('Dairy Manure Inventory'!E13+'Dairy Manure Inventory'!F13) )/1000/1000000)*28</f>
        <v>3.2911087892610697E-3</v>
      </c>
      <c r="AO13" s="149">
        <f>(( ('Dairy Manure Inventory'!AI13+'Dairy Manure Inventory'!AK13) * 'Dairy Manure Inventory'!C13)/1000/1000000)*265</f>
        <v>3.6570332839999997E-2</v>
      </c>
      <c r="AP13" s="150">
        <f>(( ('Dairy Manure Inventory'!AJ13+'Dairy Manure Inventory'!AL13) * ('Dairy Manure Inventory'!D13+'Dairy Manure Inventory'!E13+'Dairy Manure Inventory'!F13) /1000/1000000)*265)</f>
        <v>2.9910383579999995E-2</v>
      </c>
      <c r="AQ13" s="43">
        <f t="shared" si="9"/>
        <v>0.53191657498500511</v>
      </c>
    </row>
    <row r="14" spans="1:43" ht="15.75" customHeight="1">
      <c r="A14" s="109" t="s">
        <v>47</v>
      </c>
      <c r="B14" s="33" t="s">
        <v>147</v>
      </c>
      <c r="C14" s="131">
        <f>VLOOKUP(A14,'Dairy Animal Numbers, Mass, Mil'!$B$4:$H$51,2,FALSE)</f>
        <v>81000</v>
      </c>
      <c r="D14" s="125">
        <f>VLOOKUP($A14,'Dairy Animal Numbers, Mass, Mil'!$B$4:$F$52,3,FALSE)</f>
        <v>42000</v>
      </c>
      <c r="E14" s="125">
        <f>VLOOKUP($A14,'Dairy Animal Numbers, Mass, Mil'!$B$4:$F$52,4,FALSE)</f>
        <v>9000</v>
      </c>
      <c r="F14" s="125">
        <f>VLOOKUP($A14,'Dairy Animal Numbers, Mass, Mil'!$B$4:$F$52,5,FALSE)</f>
        <v>21000</v>
      </c>
      <c r="G14" s="142">
        <f>IF(B14="dairy cows",VLOOKUP(A14,'volatile solids and nex'!$B$4:$P$53,6,FALSE),0)</f>
        <v>2778</v>
      </c>
      <c r="H14" s="143">
        <f>IF(B14="dairy cows",VLOOKUP(A14,'volatile solids and nex'!$B$4:$P$53,14,FALSE),0)</f>
        <v>158</v>
      </c>
      <c r="I14" s="120">
        <v>0.24</v>
      </c>
      <c r="J14" s="33">
        <f>VLOOKUP(A14,'avg ann temp, manure EFs'!$B$3:$J$52,6,FALSE)</f>
        <v>1.5</v>
      </c>
      <c r="K14" s="33">
        <f>VLOOKUP(A14,'avg ann temp, manure EFs'!$B$3:$J$52,5,FALSE)</f>
        <v>43</v>
      </c>
      <c r="L14" s="33">
        <f>VLOOKUP(A14,'avg ann temp, manure EFs'!$B$3:$J$52,4,FALSE)</f>
        <v>76</v>
      </c>
      <c r="M14" s="33">
        <f>VLOOKUP(A14,'avg ann temp, manure EFs'!$B$3:$J$52,9,FALSE)</f>
        <v>50</v>
      </c>
      <c r="N14" s="33">
        <f>VLOOKUP(A14,'Dairy State Manure Mgmt'!$B$3:$I$52,4,FALSE)+VLOOKUP(A14,'Dairy State Manure Mgmt'!$B$3:$I$52,5,FALSE)</f>
        <v>9</v>
      </c>
      <c r="O14" s="33">
        <f>+VLOOKUP(A14,'Dairy State Manure Mgmt'!$B$3:$I$52,6,FALSE)+VLOOKUP(A14,'Dairy State Manure Mgmt'!$B$3:$I$52,8,FALSE)</f>
        <v>7</v>
      </c>
      <c r="P14" s="33">
        <f>+VLOOKUP(A14,'Dairy State Manure Mgmt'!$B$3:$I$52,7,FALSE)</f>
        <v>36</v>
      </c>
      <c r="Q14" s="33">
        <v>0</v>
      </c>
      <c r="R14" s="34">
        <f>VLOOKUP(A14,'Dairy State Manure Mgmt'!$B$3:$I$52,2,FALSE)+VLOOKUP(A14,'Dairy State Manure Mgmt'!$B$3:$I$52,3,FALSE)</f>
        <v>48</v>
      </c>
      <c r="S14" s="34">
        <f t="shared" si="0"/>
        <v>0</v>
      </c>
      <c r="T14" s="34">
        <f t="shared" si="1"/>
        <v>100</v>
      </c>
      <c r="U14" s="144">
        <f t="shared" si="2"/>
        <v>134.64175963199997</v>
      </c>
      <c r="V14" s="142">
        <f>(IF(B14="dairy cows",VLOOKUP(A14,'volatile solids and nex'!$B$4:$M$53,7,FALSE)) )</f>
        <v>1255</v>
      </c>
      <c r="W14" s="145">
        <f>IF(B14="dairy cows",VLOOKUP(A14,'volatile solids and nex'!$B$4:$M$54,5,FALSE)*('Dairy Animal Numbers, Mass, Mil'!$K$19/1000) ) * 365</f>
        <v>313.80447103200004</v>
      </c>
      <c r="X14" s="143">
        <f>IF(B14="dairy cows",VLOOKUP(A14,'volatile solids and nex'!$B$4:$P$53,15,FALSE),0)</f>
        <v>69</v>
      </c>
      <c r="Y14" s="33">
        <v>0.17</v>
      </c>
      <c r="Z14" s="34">
        <f>VLOOKUP($A14,'Dairy State Manure Mgmt'!$M$2:$Q$52,3,FALSE)</f>
        <v>42</v>
      </c>
      <c r="AA14" s="34">
        <f>VLOOKUP($A14,'Dairy State Manure Mgmt'!$M$2:$Q$52,4,FALSE)</f>
        <v>0</v>
      </c>
      <c r="AB14" s="34">
        <v>0</v>
      </c>
      <c r="AC14" s="34">
        <v>0</v>
      </c>
      <c r="AD14" s="34">
        <f>VLOOKUP($A14,'Dairy State Manure Mgmt'!$M$2:$Q$52,2,FALSE)+VLOOKUP($A14,'Dairy State Manure Mgmt'!$M$2:$Q$52,5,FALSE)</f>
        <v>58</v>
      </c>
      <c r="AE14" s="146">
        <f t="shared" si="3"/>
        <v>0</v>
      </c>
      <c r="AF14" s="146">
        <f t="shared" si="4"/>
        <v>100</v>
      </c>
      <c r="AG14" s="147">
        <f t="shared" si="5"/>
        <v>1.2748114802000001</v>
      </c>
      <c r="AH14" s="144">
        <f t="shared" si="6"/>
        <v>0.31875820096389013</v>
      </c>
      <c r="AI14" s="34">
        <f t="shared" si="7"/>
        <v>0.6241000000000001</v>
      </c>
      <c r="AJ14" s="34">
        <f t="shared" si="8"/>
        <v>0.5796</v>
      </c>
      <c r="AK14" s="148">
        <f>(H14 * 0.26 * 0.01 ) +            (H14 * ( ((VLOOKUP(A14,'avg ann temp, manure EFs'!$B$1:$AA$55,22,FALSE)/100*N14/100)+(VLOOKUP(A14,'avg ann temp, manure EFs'!$B$1:$AA$55,23,FALSE)/100*O14/100)+(VLOOKUP(A14,'avg ann temp, manure EFs'!$B$1:$AA$55,19,FALSE)/100*P14/100)+(0.05*R14/100) )  * 0.0075 ))</f>
        <v>0.66024249999999995</v>
      </c>
      <c r="AL14" s="148">
        <f>(X14 * 0.43 * 0.01 ) +            (X14 * ( ((VLOOKUP(A14,'avg ann temp, manure EFs'!$B$1:$AA$55,22,FALSE)/100*Z14/100)+(VLOOKUP(A14,'avg ann temp, manure EFs'!$B$1:$AA$55,23,FALSE)/100*AA14/100)+(VLOOKUP(A14,'avg ann temp, manure EFs'!$B$1:$AA$55,19,FALSE)/100*AB14/100)+(0.05*AD14/100) )  * 0.0075 ))</f>
        <v>0.34430999999999995</v>
      </c>
      <c r="AM14" s="149">
        <f>(('Dairy Manure Inventory'!U14*'Dairy Manure Inventory'!C14)/1000/1000000)*28</f>
        <v>0.30536751084537594</v>
      </c>
      <c r="AN14" s="149">
        <f>(('Dairy Manure Inventory'!AH14*'Dairy Manure Inventory'!D14)/1000/1000000)*28 + (('Dairy Manure Inventory'!AG14*('Dairy Manure Inventory'!E14+'Dairy Manure Inventory'!F14) )/1000/1000000)*28</f>
        <v>1.4457012877015349E-3</v>
      </c>
      <c r="AO14" s="149">
        <f>(( ('Dairy Manure Inventory'!AI14+'Dairy Manure Inventory'!AK14) * 'Dairy Manure Inventory'!C14)/1000/1000000)*265</f>
        <v>2.7568411762500002E-2</v>
      </c>
      <c r="AP14" s="150">
        <f>(( ('Dairy Manure Inventory'!AJ14+'Dairy Manure Inventory'!AL14) * ('Dairy Manure Inventory'!D14+'Dairy Manure Inventory'!E14+'Dairy Manure Inventory'!F14) /1000/1000000)*265)</f>
        <v>1.7628202800000003E-2</v>
      </c>
      <c r="AQ14" s="43">
        <f t="shared" si="9"/>
        <v>0.35200982669557751</v>
      </c>
    </row>
    <row r="15" spans="1:43" ht="15.75" customHeight="1">
      <c r="A15" s="109" t="s">
        <v>48</v>
      </c>
      <c r="B15" s="33" t="s">
        <v>147</v>
      </c>
      <c r="C15" s="131">
        <f>VLOOKUP(A15,'Dairy Animal Numbers, Mass, Mil'!$B$4:$H$51,2,FALSE)</f>
        <v>215000</v>
      </c>
      <c r="D15" s="125">
        <f>VLOOKUP($A15,'Dairy Animal Numbers, Mass, Mil'!$B$4:$F$52,3,FALSE)</f>
        <v>111000</v>
      </c>
      <c r="E15" s="125">
        <f>VLOOKUP($A15,'Dairy Animal Numbers, Mass, Mil'!$B$4:$F$52,4,FALSE)</f>
        <v>33000</v>
      </c>
      <c r="F15" s="125">
        <f>VLOOKUP($A15,'Dairy Animal Numbers, Mass, Mil'!$B$4:$F$52,5,FALSE)</f>
        <v>80000</v>
      </c>
      <c r="G15" s="142">
        <f>IF(B15="dairy cows",VLOOKUP(A15,'volatile solids and nex'!$B$4:$P$53,6,FALSE),0)</f>
        <v>2929</v>
      </c>
      <c r="H15" s="143">
        <f>IF(B15="dairy cows",VLOOKUP(A15,'volatile solids and nex'!$B$4:$P$53,14,FALSE),0)</f>
        <v>162</v>
      </c>
      <c r="I15" s="120">
        <v>0.24</v>
      </c>
      <c r="J15" s="33">
        <f>VLOOKUP(A15,'avg ann temp, manure EFs'!$B$3:$J$52,6,FALSE)</f>
        <v>1</v>
      </c>
      <c r="K15" s="33">
        <f>VLOOKUP(A15,'avg ann temp, manure EFs'!$B$3:$J$52,5,FALSE)</f>
        <v>26</v>
      </c>
      <c r="L15" s="33">
        <f>VLOOKUP(A15,'avg ann temp, manure EFs'!$B$3:$J$52,4,FALSE)</f>
        <v>70</v>
      </c>
      <c r="M15" s="33">
        <f>VLOOKUP(A15,'avg ann temp, manure EFs'!$B$3:$J$52,9,FALSE)</f>
        <v>50</v>
      </c>
      <c r="N15" s="33">
        <f>VLOOKUP(A15,'Dairy State Manure Mgmt'!$B$3:$I$52,4,FALSE)+VLOOKUP(A15,'Dairy State Manure Mgmt'!$B$3:$I$52,5,FALSE)</f>
        <v>21</v>
      </c>
      <c r="O15" s="33">
        <f>+VLOOKUP(A15,'Dairy State Manure Mgmt'!$B$3:$I$52,6,FALSE)+VLOOKUP(A15,'Dairy State Manure Mgmt'!$B$3:$I$52,8,FALSE)</f>
        <v>19</v>
      </c>
      <c r="P15" s="33">
        <f>+VLOOKUP(A15,'Dairy State Manure Mgmt'!$B$3:$I$52,7,FALSE)</f>
        <v>41</v>
      </c>
      <c r="Q15" s="33">
        <v>0</v>
      </c>
      <c r="R15" s="34">
        <f>VLOOKUP(A15,'Dairy State Manure Mgmt'!$B$3:$I$52,2,FALSE)+VLOOKUP(A15,'Dairy State Manure Mgmt'!$B$3:$I$52,3,FALSE)</f>
        <v>20</v>
      </c>
      <c r="S15" s="34">
        <f t="shared" si="0"/>
        <v>-1</v>
      </c>
      <c r="T15" s="34">
        <f t="shared" si="1"/>
        <v>101</v>
      </c>
      <c r="U15" s="144">
        <f t="shared" si="2"/>
        <v>157.52513751999999</v>
      </c>
      <c r="V15" s="142">
        <f>(IF(B15="dairy cows",VLOOKUP(A15,'volatile solids and nex'!$B$4:$M$53,7,FALSE)) )</f>
        <v>1255</v>
      </c>
      <c r="W15" s="145">
        <f>IF(B15="dairy cows",VLOOKUP(A15,'volatile solids and nex'!$B$4:$M$54,5,FALSE)*('Dairy Animal Numbers, Mass, Mil'!$K$19/1000) ) * 365</f>
        <v>308.88730695600003</v>
      </c>
      <c r="X15" s="143">
        <f>IF(B15="dairy cows",VLOOKUP(A15,'volatile solids and nex'!$B$4:$P$53,15,FALSE),0)</f>
        <v>69</v>
      </c>
      <c r="Y15" s="33">
        <v>0.17</v>
      </c>
      <c r="Z15" s="34">
        <f>VLOOKUP($A15,'Dairy State Manure Mgmt'!$M$2:$Q$52,3,FALSE)</f>
        <v>83</v>
      </c>
      <c r="AA15" s="34">
        <f>VLOOKUP($A15,'Dairy State Manure Mgmt'!$M$2:$Q$52,4,FALSE)</f>
        <v>0</v>
      </c>
      <c r="AB15" s="34">
        <v>0</v>
      </c>
      <c r="AC15" s="34">
        <v>0</v>
      </c>
      <c r="AD15" s="34">
        <f>VLOOKUP($A15,'Dairy State Manure Mgmt'!$M$2:$Q$52,2,FALSE)+VLOOKUP($A15,'Dairy State Manure Mgmt'!$M$2:$Q$52,5,FALSE)</f>
        <v>16</v>
      </c>
      <c r="AE15" s="146">
        <f t="shared" si="3"/>
        <v>1</v>
      </c>
      <c r="AF15" s="146">
        <f t="shared" si="4"/>
        <v>99</v>
      </c>
      <c r="AG15" s="147">
        <f t="shared" si="5"/>
        <v>1.2784836604000003</v>
      </c>
      <c r="AH15" s="144">
        <f t="shared" si="6"/>
        <v>0.3146672309547453</v>
      </c>
      <c r="AI15" s="34">
        <f t="shared" si="7"/>
        <v>1.1663999999999999</v>
      </c>
      <c r="AJ15" s="34">
        <f t="shared" si="8"/>
        <v>1.1454</v>
      </c>
      <c r="AK15" s="148">
        <f>(H15 * 0.26 * 0.01 ) +            (H15 * ( ((VLOOKUP(A15,'avg ann temp, manure EFs'!$B$1:$AA$55,22,FALSE)/100*N15/100)+(VLOOKUP(A15,'avg ann temp, manure EFs'!$B$1:$AA$55,23,FALSE)/100*O15/100)+(VLOOKUP(A15,'avg ann temp, manure EFs'!$B$1:$AA$55,19,FALSE)/100*P15/100)+(0.05*R15/100) )  * 0.0075 ))</f>
        <v>0.74584800000000007</v>
      </c>
      <c r="AL15" s="148">
        <f>(X15 * 0.43 * 0.01 ) +            (X15 * ( ((VLOOKUP(A15,'avg ann temp, manure EFs'!$B$1:$AA$55,22,FALSE)/100*Z15/100)+(VLOOKUP(A15,'avg ann temp, manure EFs'!$B$1:$AA$55,23,FALSE)/100*AA15/100)+(VLOOKUP(A15,'avg ann temp, manure EFs'!$B$1:$AA$55,19,FALSE)/100*AB15/100)+(0.05*AD15/100) )  * 0.0075 ))</f>
        <v>0.36526874999999998</v>
      </c>
      <c r="AM15" s="149">
        <f>(('Dairy Manure Inventory'!U15*'Dairy Manure Inventory'!C15)/1000/1000000)*28</f>
        <v>0.94830132787039978</v>
      </c>
      <c r="AN15" s="149">
        <f>(('Dairy Manure Inventory'!AH15*'Dairy Manure Inventory'!D15)/1000/1000000)*28 + (('Dairy Manure Inventory'!AG15*('Dairy Manure Inventory'!E15+'Dairy Manure Inventory'!F15) )/1000/1000000)*28</f>
        <v>5.0231080553129488E-3</v>
      </c>
      <c r="AO15" s="149">
        <f>(( ('Dairy Manure Inventory'!AI15+'Dairy Manure Inventory'!AK15) * 'Dairy Manure Inventory'!C15)/1000/1000000)*265</f>
        <v>0.10895032980000001</v>
      </c>
      <c r="AP15" s="150">
        <f>(( ('Dairy Manure Inventory'!AJ15+'Dairy Manure Inventory'!AL15) * ('Dairy Manure Inventory'!D15+'Dairy Manure Inventory'!E15+'Dairy Manure Inventory'!F15) /1000/1000000)*265)</f>
        <v>8.9673296999999999E-2</v>
      </c>
      <c r="AQ15" s="43">
        <f t="shared" si="9"/>
        <v>1.1519480627257128</v>
      </c>
    </row>
    <row r="16" spans="1:43" ht="15.75" customHeight="1">
      <c r="A16" s="109" t="s">
        <v>49</v>
      </c>
      <c r="B16" s="33" t="s">
        <v>147</v>
      </c>
      <c r="C16" s="131">
        <f>VLOOKUP(A16,'Dairy Animal Numbers, Mass, Mil'!$B$4:$H$51,2,FALSE)</f>
        <v>640000</v>
      </c>
      <c r="D16" s="125">
        <f>VLOOKUP($A16,'Dairy Animal Numbers, Mass, Mil'!$B$4:$F$52,3,FALSE)</f>
        <v>331000</v>
      </c>
      <c r="E16" s="125">
        <f>VLOOKUP($A16,'Dairy Animal Numbers, Mass, Mil'!$B$4:$F$52,4,FALSE)</f>
        <v>96000</v>
      </c>
      <c r="F16" s="125">
        <f>VLOOKUP($A16,'Dairy Animal Numbers, Mass, Mil'!$B$4:$F$52,5,FALSE)</f>
        <v>231000</v>
      </c>
      <c r="G16" s="142">
        <f>IF(B16="dairy cows",VLOOKUP(A16,'volatile solids and nex'!$B$4:$P$53,6,FALSE),0)</f>
        <v>2968</v>
      </c>
      <c r="H16" s="143">
        <f>IF(B16="dairy cows",VLOOKUP(A16,'volatile solids and nex'!$B$4:$P$53,14,FALSE),0)</f>
        <v>164</v>
      </c>
      <c r="I16" s="120">
        <v>0.24</v>
      </c>
      <c r="J16" s="33">
        <f>VLOOKUP(A16,'avg ann temp, manure EFs'!$B$3:$J$52,6,FALSE)</f>
        <v>1</v>
      </c>
      <c r="K16" s="33">
        <f>VLOOKUP(A16,'avg ann temp, manure EFs'!$B$3:$J$52,5,FALSE)</f>
        <v>24</v>
      </c>
      <c r="L16" s="33">
        <f>VLOOKUP(A16,'avg ann temp, manure EFs'!$B$3:$J$52,4,FALSE)</f>
        <v>64</v>
      </c>
      <c r="M16" s="33">
        <f>VLOOKUP(A16,'avg ann temp, manure EFs'!$B$3:$J$52,9,FALSE)</f>
        <v>50</v>
      </c>
      <c r="N16" s="33">
        <f>VLOOKUP(A16,'Dairy State Manure Mgmt'!$B$3:$I$52,4,FALSE)+VLOOKUP(A16,'Dairy State Manure Mgmt'!$B$3:$I$52,5,FALSE)</f>
        <v>29</v>
      </c>
      <c r="O16" s="33">
        <f>+VLOOKUP(A16,'Dairy State Manure Mgmt'!$B$3:$I$52,6,FALSE)+VLOOKUP(A16,'Dairy State Manure Mgmt'!$B$3:$I$52,8,FALSE)</f>
        <v>12</v>
      </c>
      <c r="P16" s="33">
        <f>+VLOOKUP(A16,'Dairy State Manure Mgmt'!$B$3:$I$52,7,FALSE)</f>
        <v>53</v>
      </c>
      <c r="Q16" s="33">
        <v>0</v>
      </c>
      <c r="R16" s="34">
        <f>VLOOKUP(A16,'Dairy State Manure Mgmt'!$B$3:$I$52,2,FALSE)+VLOOKUP(A16,'Dairy State Manure Mgmt'!$B$3:$I$52,3,FALSE)</f>
        <v>5</v>
      </c>
      <c r="S16" s="34">
        <f t="shared" si="0"/>
        <v>1</v>
      </c>
      <c r="T16" s="34">
        <f t="shared" si="1"/>
        <v>99</v>
      </c>
      <c r="U16" s="144">
        <f t="shared" si="2"/>
        <v>174.900296056</v>
      </c>
      <c r="V16" s="142">
        <f>(IF(B16="dairy cows",VLOOKUP(A16,'volatile solids and nex'!$B$4:$M$53,7,FALSE)) )</f>
        <v>1255</v>
      </c>
      <c r="W16" s="145">
        <f>IF(B16="dairy cows",VLOOKUP(A16,'volatile solids and nex'!$B$4:$M$54,5,FALSE)*('Dairy Animal Numbers, Mass, Mil'!$K$19/1000) ) * 365</f>
        <v>403.20745423200003</v>
      </c>
      <c r="X16" s="143">
        <f>IF(B16="dairy cows",VLOOKUP(A16,'volatile solids and nex'!$B$4:$P$53,15,FALSE),0)</f>
        <v>69</v>
      </c>
      <c r="Y16" s="33">
        <v>0.17</v>
      </c>
      <c r="Z16" s="34">
        <f>VLOOKUP($A16,'Dairy State Manure Mgmt'!$M$2:$Q$52,3,FALSE)</f>
        <v>99</v>
      </c>
      <c r="AA16" s="34">
        <f>VLOOKUP($A16,'Dairy State Manure Mgmt'!$M$2:$Q$52,4,FALSE)</f>
        <v>0</v>
      </c>
      <c r="AB16" s="34">
        <v>0</v>
      </c>
      <c r="AC16" s="34">
        <v>0</v>
      </c>
      <c r="AD16" s="34">
        <f>VLOOKUP($A16,'Dairy State Manure Mgmt'!$M$2:$Q$52,2,FALSE)+VLOOKUP($A16,'Dairy State Manure Mgmt'!$M$2:$Q$52,5,FALSE)</f>
        <v>1</v>
      </c>
      <c r="AE16" s="146">
        <f t="shared" si="3"/>
        <v>0</v>
      </c>
      <c r="AF16" s="146">
        <f t="shared" si="4"/>
        <v>100</v>
      </c>
      <c r="AG16" s="147">
        <f t="shared" si="5"/>
        <v>1.4048914019000001</v>
      </c>
      <c r="AH16" s="144">
        <f t="shared" si="6"/>
        <v>0.45136468974703159</v>
      </c>
      <c r="AI16" s="34">
        <f t="shared" si="7"/>
        <v>1.4841999999999997</v>
      </c>
      <c r="AJ16" s="34">
        <f t="shared" si="8"/>
        <v>1.3661999999999999</v>
      </c>
      <c r="AK16" s="148">
        <f>(H16 * 0.26 * 0.01 ) +            (H16 * ( ((VLOOKUP(A16,'avg ann temp, manure EFs'!$B$1:$AA$55,22,FALSE)/100*N16/100)+(VLOOKUP(A16,'avg ann temp, manure EFs'!$B$1:$AA$55,23,FALSE)/100*O16/100)+(VLOOKUP(A16,'avg ann temp, manure EFs'!$B$1:$AA$55,19,FALSE)/100*P16/100)+(0.05*R16/100) )  * 0.0075 ))</f>
        <v>0.80167299999999997</v>
      </c>
      <c r="AL16" s="148">
        <f>(X16 * 0.43 * 0.01 ) +            (X16 * ( ((VLOOKUP(A16,'avg ann temp, manure EFs'!$B$1:$AA$55,22,FALSE)/100*Z16/100)+(VLOOKUP(A16,'avg ann temp, manure EFs'!$B$1:$AA$55,23,FALSE)/100*AA16/100)+(VLOOKUP(A16,'avg ann temp, manure EFs'!$B$1:$AA$55,19,FALSE)/100*AB16/100)+(0.05*AD16/100) )  * 0.0075 ))</f>
        <v>0.37380749999999996</v>
      </c>
      <c r="AM16" s="149">
        <f>(('Dairy Manure Inventory'!U16*'Dairy Manure Inventory'!C16)/1000/1000000)*28</f>
        <v>3.1342133053235202</v>
      </c>
      <c r="AN16" s="149">
        <f>(('Dairy Manure Inventory'!AH16*'Dairy Manure Inventory'!D16)/1000/1000000)*28 + (('Dairy Manure Inventory'!AG16*('Dairy Manure Inventory'!E16+'Dairy Manure Inventory'!F16) )/1000/1000000)*28</f>
        <v>1.7046433620371889E-2</v>
      </c>
      <c r="AO16" s="149">
        <f>(( ('Dairy Manure Inventory'!AI16+'Dairy Manure Inventory'!AK16) * 'Dairy Manure Inventory'!C16)/1000/1000000)*265</f>
        <v>0.3876840607999999</v>
      </c>
      <c r="AP16" s="150">
        <f>(( ('Dairy Manure Inventory'!AJ16+'Dairy Manure Inventory'!AL16) * ('Dairy Manure Inventory'!D16+'Dairy Manure Inventory'!E16+'Dairy Manure Inventory'!F16) /1000/1000000)*265)</f>
        <v>0.30340510777500002</v>
      </c>
      <c r="AQ16" s="43">
        <f t="shared" si="9"/>
        <v>3.8423489075188919</v>
      </c>
    </row>
    <row r="17" spans="1:43" ht="15.75" customHeight="1">
      <c r="A17" s="109" t="s">
        <v>50</v>
      </c>
      <c r="B17" s="33" t="s">
        <v>147</v>
      </c>
      <c r="C17" s="131">
        <f>VLOOKUP(A17,'Dairy Animal Numbers, Mass, Mil'!$B$4:$H$51,2,FALSE)</f>
        <v>82000</v>
      </c>
      <c r="D17" s="125">
        <f>VLOOKUP($A17,'Dairy Animal Numbers, Mass, Mil'!$B$4:$F$52,3,FALSE)</f>
        <v>42000</v>
      </c>
      <c r="E17" s="125">
        <f>VLOOKUP($A17,'Dairy Animal Numbers, Mass, Mil'!$B$4:$F$52,4,FALSE)</f>
        <v>13000</v>
      </c>
      <c r="F17" s="125">
        <f>VLOOKUP($A17,'Dairy Animal Numbers, Mass, Mil'!$B$4:$F$52,5,FALSE)</f>
        <v>31000</v>
      </c>
      <c r="G17" s="142">
        <f>IF(B17="dairy cows",VLOOKUP(A17,'volatile solids and nex'!$B$4:$P$53,6,FALSE),0)</f>
        <v>2697</v>
      </c>
      <c r="H17" s="143">
        <f>IF(B17="dairy cows",VLOOKUP(A17,'volatile solids and nex'!$B$4:$P$53,14,FALSE),0)</f>
        <v>152</v>
      </c>
      <c r="I17" s="120">
        <v>0.24</v>
      </c>
      <c r="J17" s="33">
        <f>VLOOKUP(A17,'avg ann temp, manure EFs'!$B$3:$J$52,6,FALSE)</f>
        <v>1</v>
      </c>
      <c r="K17" s="33">
        <f>VLOOKUP(A17,'avg ann temp, manure EFs'!$B$3:$J$52,5,FALSE)</f>
        <v>29</v>
      </c>
      <c r="L17" s="33">
        <f>VLOOKUP(A17,'avg ann temp, manure EFs'!$B$3:$J$52,4,FALSE)</f>
        <v>72</v>
      </c>
      <c r="M17" s="33">
        <f>VLOOKUP(A17,'avg ann temp, manure EFs'!$B$3:$J$52,9,FALSE)</f>
        <v>50</v>
      </c>
      <c r="N17" s="33">
        <f>VLOOKUP(A17,'Dairy State Manure Mgmt'!$B$3:$I$52,4,FALSE)+VLOOKUP(A17,'Dairy State Manure Mgmt'!$B$3:$I$52,5,FALSE)</f>
        <v>23</v>
      </c>
      <c r="O17" s="33">
        <f>+VLOOKUP(A17,'Dairy State Manure Mgmt'!$B$3:$I$52,6,FALSE)+VLOOKUP(A17,'Dairy State Manure Mgmt'!$B$3:$I$52,8,FALSE)</f>
        <v>21</v>
      </c>
      <c r="P17" s="33">
        <f>+VLOOKUP(A17,'Dairy State Manure Mgmt'!$B$3:$I$52,7,FALSE)</f>
        <v>33</v>
      </c>
      <c r="Q17" s="33">
        <v>0</v>
      </c>
      <c r="R17" s="34">
        <f>VLOOKUP(A17,'Dairy State Manure Mgmt'!$B$3:$I$52,2,FALSE)+VLOOKUP(A17,'Dairy State Manure Mgmt'!$B$3:$I$52,3,FALSE)</f>
        <v>24</v>
      </c>
      <c r="S17" s="34">
        <f t="shared" si="0"/>
        <v>-1</v>
      </c>
      <c r="T17" s="34">
        <f t="shared" si="1"/>
        <v>101</v>
      </c>
      <c r="U17" s="144">
        <f t="shared" si="2"/>
        <v>128.89373548799998</v>
      </c>
      <c r="V17" s="142">
        <f>(IF(B17="dairy cows",VLOOKUP(A17,'volatile solids and nex'!$B$4:$M$53,7,FALSE)) )</f>
        <v>1255</v>
      </c>
      <c r="W17" s="145">
        <f>IF(B17="dairy cows",VLOOKUP(A17,'volatile solids and nex'!$B$4:$M$54,5,FALSE)*('Dairy Animal Numbers, Mass, Mil'!$K$19/1000) ) * 365</f>
        <v>308.88730695600003</v>
      </c>
      <c r="X17" s="143">
        <f>IF(B17="dairy cows",VLOOKUP(A17,'volatile solids and nex'!$B$4:$P$53,15,FALSE),0)</f>
        <v>69</v>
      </c>
      <c r="Y17" s="33">
        <v>0.17</v>
      </c>
      <c r="Z17" s="34">
        <f>VLOOKUP($A17,'Dairy State Manure Mgmt'!$M$2:$Q$52,3,FALSE)</f>
        <v>87</v>
      </c>
      <c r="AA17" s="34">
        <f>VLOOKUP($A17,'Dairy State Manure Mgmt'!$M$2:$Q$52,4,FALSE)</f>
        <v>0</v>
      </c>
      <c r="AB17" s="34">
        <v>0</v>
      </c>
      <c r="AC17" s="34">
        <v>0</v>
      </c>
      <c r="AD17" s="34">
        <f>VLOOKUP($A17,'Dairy State Manure Mgmt'!$M$2:$Q$52,2,FALSE)+VLOOKUP($A17,'Dairy State Manure Mgmt'!$M$2:$Q$52,5,FALSE)</f>
        <v>13</v>
      </c>
      <c r="AE17" s="146">
        <f t="shared" si="3"/>
        <v>0</v>
      </c>
      <c r="AF17" s="146">
        <f t="shared" si="4"/>
        <v>100</v>
      </c>
      <c r="AG17" s="147">
        <f t="shared" si="5"/>
        <v>1.3150642247000002</v>
      </c>
      <c r="AH17" s="144">
        <f t="shared" si="6"/>
        <v>0.32367063493367576</v>
      </c>
      <c r="AI17" s="34">
        <f t="shared" si="7"/>
        <v>1.1095999999999999</v>
      </c>
      <c r="AJ17" s="34">
        <f t="shared" si="8"/>
        <v>1.2005999999999999</v>
      </c>
      <c r="AK17" s="148">
        <f>(H17 * 0.26 * 0.01 ) +            (H17 * ( ((VLOOKUP(A17,'avg ann temp, manure EFs'!$B$1:$AA$55,22,FALSE)/100*N17/100)+(VLOOKUP(A17,'avg ann temp, manure EFs'!$B$1:$AA$55,23,FALSE)/100*O17/100)+(VLOOKUP(A17,'avg ann temp, manure EFs'!$B$1:$AA$55,19,FALSE)/100*P17/100)+(0.05*R17/100) )  * 0.0075 ))</f>
        <v>0.67222000000000004</v>
      </c>
      <c r="AL17" s="148">
        <f>(X17 * 0.43 * 0.01 ) +            (X17 * ( ((VLOOKUP(A17,'avg ann temp, manure EFs'!$B$1:$AA$55,22,FALSE)/100*Z17/100)+(VLOOKUP(A17,'avg ann temp, manure EFs'!$B$1:$AA$55,23,FALSE)/100*AA17/100)+(VLOOKUP(A17,'avg ann temp, manure EFs'!$B$1:$AA$55,19,FALSE)/100*AB17/100)+(0.05*AD17/100) )  * 0.0075 ))</f>
        <v>0.36759749999999997</v>
      </c>
      <c r="AM17" s="149">
        <f>(('Dairy Manure Inventory'!U17*'Dairy Manure Inventory'!C17)/1000/1000000)*28</f>
        <v>0.295940016680448</v>
      </c>
      <c r="AN17" s="149">
        <f>(('Dairy Manure Inventory'!AH17*'Dairy Manure Inventory'!D17)/1000/1000000)*28 + (('Dairy Manure Inventory'!AG17*('Dairy Manure Inventory'!E17+'Dairy Manure Inventory'!F17) )/1000/1000000)*28</f>
        <v>2.000795791512403E-3</v>
      </c>
      <c r="AO17" s="149">
        <f>(( ('Dairy Manure Inventory'!AI17+'Dairy Manure Inventory'!AK17) * 'Dairy Manure Inventory'!C17)/1000/1000000)*265</f>
        <v>3.8718948599999997E-2</v>
      </c>
      <c r="AP17" s="150">
        <f>(( ('Dairy Manure Inventory'!AJ17+'Dairy Manure Inventory'!AL17) * ('Dairy Manure Inventory'!D17+'Dairy Manure Inventory'!E17+'Dairy Manure Inventory'!F17) /1000/1000000)*265)</f>
        <v>3.5739221024999997E-2</v>
      </c>
      <c r="AQ17" s="43">
        <f t="shared" si="9"/>
        <v>0.37239898209696037</v>
      </c>
    </row>
    <row r="18" spans="1:43" ht="15.75" customHeight="1">
      <c r="A18" s="109" t="s">
        <v>51</v>
      </c>
      <c r="B18" s="33" t="s">
        <v>147</v>
      </c>
      <c r="C18" s="131">
        <f>VLOOKUP(A18,'Dairy Animal Numbers, Mass, Mil'!$B$4:$H$51,2,FALSE)</f>
        <v>176000</v>
      </c>
      <c r="D18" s="125">
        <f>VLOOKUP($A18,'Dairy Animal Numbers, Mass, Mil'!$B$4:$F$52,3,FALSE)</f>
        <v>91000</v>
      </c>
      <c r="E18" s="125">
        <f>VLOOKUP($A18,'Dairy Animal Numbers, Mass, Mil'!$B$4:$F$52,4,FALSE)</f>
        <v>22000</v>
      </c>
      <c r="F18" s="125">
        <f>VLOOKUP($A18,'Dairy Animal Numbers, Mass, Mil'!$B$4:$F$52,5,FALSE)</f>
        <v>52000</v>
      </c>
      <c r="G18" s="142">
        <f>IF(B18="dairy cows",VLOOKUP(A18,'volatile solids and nex'!$B$4:$P$53,6,FALSE),0)</f>
        <v>2856</v>
      </c>
      <c r="H18" s="143">
        <f>IF(B18="dairy cows",VLOOKUP(A18,'volatile solids and nex'!$B$4:$P$53,14,FALSE),0)</f>
        <v>159</v>
      </c>
      <c r="I18" s="120">
        <v>0.24</v>
      </c>
      <c r="J18" s="33">
        <f>VLOOKUP(A18,'avg ann temp, manure EFs'!$B$3:$J$52,6,FALSE)</f>
        <v>1</v>
      </c>
      <c r="K18" s="33">
        <f>VLOOKUP(A18,'avg ann temp, manure EFs'!$B$3:$J$52,5,FALSE)</f>
        <v>27</v>
      </c>
      <c r="L18" s="33">
        <f>VLOOKUP(A18,'avg ann temp, manure EFs'!$B$3:$J$52,4,FALSE)</f>
        <v>71</v>
      </c>
      <c r="M18" s="33">
        <f>VLOOKUP(A18,'avg ann temp, manure EFs'!$B$3:$J$52,9,FALSE)</f>
        <v>50</v>
      </c>
      <c r="N18" s="33">
        <f>VLOOKUP(A18,'Dairy State Manure Mgmt'!$B$3:$I$52,4,FALSE)+VLOOKUP(A18,'Dairy State Manure Mgmt'!$B$3:$I$52,5,FALSE)</f>
        <v>21</v>
      </c>
      <c r="O18" s="33">
        <f>+VLOOKUP(A18,'Dairy State Manure Mgmt'!$B$3:$I$52,6,FALSE)+VLOOKUP(A18,'Dairy State Manure Mgmt'!$B$3:$I$52,8,FALSE)</f>
        <v>18</v>
      </c>
      <c r="P18" s="33">
        <f>+VLOOKUP(A18,'Dairy State Manure Mgmt'!$B$3:$I$52,7,FALSE)</f>
        <v>41</v>
      </c>
      <c r="Q18" s="33">
        <v>0</v>
      </c>
      <c r="R18" s="34">
        <f>VLOOKUP(A18,'Dairy State Manure Mgmt'!$B$3:$I$52,2,FALSE)+VLOOKUP(A18,'Dairy State Manure Mgmt'!$B$3:$I$52,3,FALSE)</f>
        <v>21</v>
      </c>
      <c r="S18" s="34">
        <f t="shared" si="0"/>
        <v>-1</v>
      </c>
      <c r="T18" s="34">
        <f t="shared" si="1"/>
        <v>101</v>
      </c>
      <c r="U18" s="144">
        <f t="shared" si="2"/>
        <v>155.096592504</v>
      </c>
      <c r="V18" s="142">
        <f>(IF(B18="dairy cows",VLOOKUP(A18,'volatile solids and nex'!$B$4:$M$53,7,FALSE)) )</f>
        <v>1255</v>
      </c>
      <c r="W18" s="145">
        <f>IF(B18="dairy cows",VLOOKUP(A18,'volatile solids and nex'!$B$4:$M$54,5,FALSE)*('Dairy Animal Numbers, Mass, Mil'!$K$19/1000) ) * 365</f>
        <v>308.88730695600003</v>
      </c>
      <c r="X18" s="143">
        <f>IF(B18="dairy cows",VLOOKUP(A18,'volatile solids and nex'!$B$4:$P$53,15,FALSE),0)</f>
        <v>69</v>
      </c>
      <c r="Y18" s="33">
        <v>0.17</v>
      </c>
      <c r="Z18" s="34">
        <f>VLOOKUP($A18,'Dairy State Manure Mgmt'!$M$2:$Q$52,3,FALSE)</f>
        <v>79</v>
      </c>
      <c r="AA18" s="34">
        <f>VLOOKUP($A18,'Dairy State Manure Mgmt'!$M$2:$Q$52,4,FALSE)</f>
        <v>0</v>
      </c>
      <c r="AB18" s="34">
        <v>0</v>
      </c>
      <c r="AC18" s="34">
        <v>0</v>
      </c>
      <c r="AD18" s="34">
        <f>VLOOKUP($A18,'Dairy State Manure Mgmt'!$M$2:$Q$52,2,FALSE)+VLOOKUP($A18,'Dairy State Manure Mgmt'!$M$2:$Q$52,5,FALSE)</f>
        <v>21</v>
      </c>
      <c r="AE18" s="146">
        <f t="shared" si="3"/>
        <v>0</v>
      </c>
      <c r="AF18" s="146">
        <f t="shared" si="4"/>
        <v>100</v>
      </c>
      <c r="AG18" s="147">
        <f t="shared" si="5"/>
        <v>1.2551794399000002</v>
      </c>
      <c r="AH18" s="144">
        <f t="shared" si="6"/>
        <v>0.30893147166314866</v>
      </c>
      <c r="AI18" s="34">
        <f t="shared" si="7"/>
        <v>1.1368499999999999</v>
      </c>
      <c r="AJ18" s="34">
        <f t="shared" si="8"/>
        <v>1.0902000000000001</v>
      </c>
      <c r="AK18" s="148">
        <f>(H18 * 0.26 * 0.01 ) +            (H18 * ( ((VLOOKUP(A18,'avg ann temp, manure EFs'!$B$1:$AA$55,22,FALSE)/100*N18/100)+(VLOOKUP(A18,'avg ann temp, manure EFs'!$B$1:$AA$55,23,FALSE)/100*O18/100)+(VLOOKUP(A18,'avg ann temp, manure EFs'!$B$1:$AA$55,19,FALSE)/100*P18/100)+(0.05*R18/100) )  * 0.0075 ))</f>
        <v>0.72953175000000003</v>
      </c>
      <c r="AL18" s="148">
        <f>(X18 * 0.43 * 0.01 ) +            (X18 * ( ((VLOOKUP(A18,'avg ann temp, manure EFs'!$B$1:$AA$55,22,FALSE)/100*Z18/100)+(VLOOKUP(A18,'avg ann temp, manure EFs'!$B$1:$AA$55,23,FALSE)/100*AA18/100)+(VLOOKUP(A18,'avg ann temp, manure EFs'!$B$1:$AA$55,19,FALSE)/100*AB18/100)+(0.05*AD18/100) )  * 0.0075 ))</f>
        <v>0.36345749999999999</v>
      </c>
      <c r="AM18" s="149">
        <f>(('Dairy Manure Inventory'!U18*'Dairy Manure Inventory'!C18)/1000/1000000)*28</f>
        <v>0.76431600785971199</v>
      </c>
      <c r="AN18" s="149">
        <f>(('Dairy Manure Inventory'!AH18*'Dairy Manure Inventory'!D18)/1000/1000000)*28 + (('Dairy Manure Inventory'!AG18*('Dairy Manure Inventory'!E18+'Dairy Manure Inventory'!F18) )/1000/1000000)*28</f>
        <v>3.3878891892705036E-3</v>
      </c>
      <c r="AO18" s="149">
        <f>(( ('Dairy Manure Inventory'!AI18+'Dairy Manure Inventory'!AK18) * 'Dairy Manure Inventory'!C18)/1000/1000000)*265</f>
        <v>8.704804481999999E-2</v>
      </c>
      <c r="AP18" s="150">
        <f>(( ('Dairy Manure Inventory'!AJ18+'Dairy Manure Inventory'!AL18) * ('Dairy Manure Inventory'!D18+'Dairy Manure Inventory'!E18+'Dairy Manure Inventory'!F18) /1000/1000000)*265)</f>
        <v>6.3561174187500014E-2</v>
      </c>
      <c r="AQ18" s="43">
        <f t="shared" si="9"/>
        <v>0.91831311605648236</v>
      </c>
    </row>
    <row r="19" spans="1:43" ht="15.75" customHeight="1">
      <c r="A19" s="109" t="s">
        <v>52</v>
      </c>
      <c r="B19" s="33" t="s">
        <v>147</v>
      </c>
      <c r="C19" s="131">
        <f>VLOOKUP(A19,'Dairy Animal Numbers, Mass, Mil'!$B$4:$H$51,2,FALSE)</f>
        <v>167000</v>
      </c>
      <c r="D19" s="125">
        <f>VLOOKUP($A19,'Dairy Animal Numbers, Mass, Mil'!$B$4:$F$52,3,FALSE)</f>
        <v>86000</v>
      </c>
      <c r="E19" s="125">
        <f>VLOOKUP($A19,'Dairy Animal Numbers, Mass, Mil'!$B$4:$F$52,4,FALSE)</f>
        <v>41000</v>
      </c>
      <c r="F19" s="125">
        <f>VLOOKUP($A19,'Dairy Animal Numbers, Mass, Mil'!$B$4:$F$52,5,FALSE)</f>
        <v>98000</v>
      </c>
      <c r="G19" s="142">
        <f>IF(B19="dairy cows",VLOOKUP(A19,'volatile solids and nex'!$B$4:$P$53,6,FALSE),0)</f>
        <v>2858</v>
      </c>
      <c r="H19" s="143">
        <f>IF(B19="dairy cows",VLOOKUP(A19,'volatile solids and nex'!$B$4:$P$53,14,FALSE),0)</f>
        <v>159</v>
      </c>
      <c r="I19" s="120">
        <v>0.24</v>
      </c>
      <c r="J19" s="33">
        <f>VLOOKUP(A19,'avg ann temp, manure EFs'!$B$3:$J$52,6,FALSE)</f>
        <v>1</v>
      </c>
      <c r="K19" s="33">
        <f>VLOOKUP(A19,'avg ann temp, manure EFs'!$B$3:$J$52,5,FALSE)</f>
        <v>32</v>
      </c>
      <c r="L19" s="33">
        <f>VLOOKUP(A19,'avg ann temp, manure EFs'!$B$3:$J$52,4,FALSE)</f>
        <v>74</v>
      </c>
      <c r="M19" s="33">
        <f>VLOOKUP(A19,'avg ann temp, manure EFs'!$B$3:$J$52,9,FALSE)</f>
        <v>50</v>
      </c>
      <c r="N19" s="33">
        <f>VLOOKUP(A19,'Dairy State Manure Mgmt'!$B$3:$I$52,4,FALSE)+VLOOKUP(A19,'Dairy State Manure Mgmt'!$B$3:$I$52,5,FALSE)</f>
        <v>16</v>
      </c>
      <c r="O19" s="33">
        <f>+VLOOKUP(A19,'Dairy State Manure Mgmt'!$B$3:$I$52,6,FALSE)+VLOOKUP(A19,'Dairy State Manure Mgmt'!$B$3:$I$52,8,FALSE)</f>
        <v>14</v>
      </c>
      <c r="P19" s="33">
        <f>+VLOOKUP(A19,'Dairy State Manure Mgmt'!$B$3:$I$52,7,FALSE)</f>
        <v>55</v>
      </c>
      <c r="Q19" s="33">
        <v>0</v>
      </c>
      <c r="R19" s="34">
        <f>VLOOKUP(A19,'Dairy State Manure Mgmt'!$B$3:$I$52,2,FALSE)+VLOOKUP(A19,'Dairy State Manure Mgmt'!$B$3:$I$52,3,FALSE)</f>
        <v>14</v>
      </c>
      <c r="S19" s="34">
        <f t="shared" si="0"/>
        <v>1</v>
      </c>
      <c r="T19" s="34">
        <f t="shared" si="1"/>
        <v>99</v>
      </c>
      <c r="U19" s="144">
        <f t="shared" si="2"/>
        <v>205.88009473600002</v>
      </c>
      <c r="V19" s="142">
        <f>(IF(B19="dairy cows",VLOOKUP(A19,'volatile solids and nex'!$B$4:$M$53,7,FALSE)) )</f>
        <v>1255</v>
      </c>
      <c r="W19" s="145">
        <f>IF(B19="dairy cows",VLOOKUP(A19,'volatile solids and nex'!$B$4:$M$54,5,FALSE)*('Dairy Animal Numbers, Mass, Mil'!$K$19/1000) ) * 365</f>
        <v>288.77163573600001</v>
      </c>
      <c r="X19" s="143">
        <f>IF(B19="dairy cows",VLOOKUP(A19,'volatile solids and nex'!$B$4:$P$53,15,FALSE),0)</f>
        <v>69</v>
      </c>
      <c r="Y19" s="33">
        <v>0.17</v>
      </c>
      <c r="Z19" s="34">
        <f>VLOOKUP($A19,'Dairy State Manure Mgmt'!$M$2:$Q$52,3,FALSE)</f>
        <v>92</v>
      </c>
      <c r="AA19" s="34">
        <f>VLOOKUP($A19,'Dairy State Manure Mgmt'!$M$2:$Q$52,4,FALSE)</f>
        <v>0</v>
      </c>
      <c r="AB19" s="34">
        <v>0</v>
      </c>
      <c r="AC19" s="34">
        <v>0</v>
      </c>
      <c r="AD19" s="34">
        <f>VLOOKUP($A19,'Dairy State Manure Mgmt'!$M$2:$Q$52,2,FALSE)+VLOOKUP($A19,'Dairy State Manure Mgmt'!$M$2:$Q$52,5,FALSE)</f>
        <v>8</v>
      </c>
      <c r="AE19" s="146">
        <f t="shared" si="3"/>
        <v>0</v>
      </c>
      <c r="AF19" s="146">
        <f t="shared" si="4"/>
        <v>100</v>
      </c>
      <c r="AG19" s="147">
        <f t="shared" si="5"/>
        <v>1.3524922152000001</v>
      </c>
      <c r="AH19" s="144">
        <f t="shared" si="6"/>
        <v>0.31120429426574514</v>
      </c>
      <c r="AI19" s="34">
        <f t="shared" si="7"/>
        <v>1.05735</v>
      </c>
      <c r="AJ19" s="34">
        <f t="shared" si="8"/>
        <v>1.2696000000000001</v>
      </c>
      <c r="AK19" s="148">
        <f>(H19 * 0.26 * 0.01 ) +            (H19 * ( ((VLOOKUP(A19,'avg ann temp, manure EFs'!$B$1:$AA$55,22,FALSE)/100*N19/100)+(VLOOKUP(A19,'avg ann temp, manure EFs'!$B$1:$AA$55,23,FALSE)/100*O19/100)+(VLOOKUP(A19,'avg ann temp, manure EFs'!$B$1:$AA$55,19,FALSE)/100*P19/100)+(0.05*R19/100) )  * 0.0075 ))</f>
        <v>0.77580075000000004</v>
      </c>
      <c r="AL19" s="148">
        <f>(X19 * 0.43 * 0.01 ) +            (X19 * ( ((VLOOKUP(A19,'avg ann temp, manure EFs'!$B$1:$AA$55,22,FALSE)/100*Z19/100)+(VLOOKUP(A19,'avg ann temp, manure EFs'!$B$1:$AA$55,23,FALSE)/100*AA19/100)+(VLOOKUP(A19,'avg ann temp, manure EFs'!$B$1:$AA$55,19,FALSE)/100*AB19/100)+(0.05*AD19/100) )  * 0.0075 ))</f>
        <v>0.37018499999999993</v>
      </c>
      <c r="AM19" s="149">
        <f>(('Dairy Manure Inventory'!U19*'Dairy Manure Inventory'!C19)/1000/1000000)*28</f>
        <v>0.96269532298553617</v>
      </c>
      <c r="AN19" s="149">
        <f>(('Dairy Manure Inventory'!AH19*'Dairy Manure Inventory'!D19)/1000/1000000)*28 + (('Dairy Manure Inventory'!AG19*('Dairy Manure Inventory'!E19+'Dairy Manure Inventory'!F19) )/1000/1000000)*28</f>
        <v>6.0132796421503154E-3</v>
      </c>
      <c r="AO19" s="149">
        <f>(( ('Dairy Manure Inventory'!AI19+'Dairy Manure Inventory'!AK19) * 'Dairy Manure Inventory'!C19)/1000/1000000)*265</f>
        <v>8.1126086441249995E-2</v>
      </c>
      <c r="AP19" s="150">
        <f>(( ('Dairy Manure Inventory'!AJ19+'Dairy Manure Inventory'!AL19) * ('Dairy Manure Inventory'!D19+'Dairy Manure Inventory'!E19+'Dairy Manure Inventory'!F19) /1000/1000000)*265)</f>
        <v>9.7772180624999983E-2</v>
      </c>
      <c r="AQ19" s="43">
        <f t="shared" si="9"/>
        <v>1.1476068696939365</v>
      </c>
    </row>
    <row r="20" spans="1:43" ht="15.75" customHeight="1">
      <c r="A20" s="109" t="s">
        <v>53</v>
      </c>
      <c r="B20" s="33" t="s">
        <v>147</v>
      </c>
      <c r="C20" s="131">
        <f>VLOOKUP(A20,'Dairy Animal Numbers, Mass, Mil'!$B$4:$H$51,2,FALSE)</f>
        <v>49000</v>
      </c>
      <c r="D20" s="125">
        <f>VLOOKUP($A20,'Dairy Animal Numbers, Mass, Mil'!$B$4:$F$52,3,FALSE)</f>
        <v>25000</v>
      </c>
      <c r="E20" s="125">
        <f>VLOOKUP($A20,'Dairy Animal Numbers, Mass, Mil'!$B$4:$F$52,4,FALSE)</f>
        <v>12000</v>
      </c>
      <c r="F20" s="125">
        <f>VLOOKUP($A20,'Dairy Animal Numbers, Mass, Mil'!$B$4:$F$52,5,FALSE)</f>
        <v>28000</v>
      </c>
      <c r="G20" s="142">
        <f>IF(B20="dairy cows",VLOOKUP(A20,'volatile solids and nex'!$B$4:$P$53,6,FALSE),0)</f>
        <v>2604</v>
      </c>
      <c r="H20" s="143">
        <f>IF(B20="dairy cows",VLOOKUP(A20,'volatile solids and nex'!$B$4:$P$53,14,FALSE),0)</f>
        <v>159</v>
      </c>
      <c r="I20" s="120">
        <v>0.24</v>
      </c>
      <c r="J20" s="33">
        <f>VLOOKUP(A20,'avg ann temp, manure EFs'!$B$3:$J$52,6,FALSE)</f>
        <v>1</v>
      </c>
      <c r="K20" s="33">
        <f>VLOOKUP(A20,'avg ann temp, manure EFs'!$B$3:$J$52,5,FALSE)</f>
        <v>32</v>
      </c>
      <c r="L20" s="33">
        <f>VLOOKUP(A20,'avg ann temp, manure EFs'!$B$3:$J$52,4,FALSE)</f>
        <v>74</v>
      </c>
      <c r="M20" s="33">
        <f>VLOOKUP(A20,'avg ann temp, manure EFs'!$B$3:$J$52,9,FALSE)</f>
        <v>50</v>
      </c>
      <c r="N20" s="33">
        <f>VLOOKUP(A20,'Dairy State Manure Mgmt'!$B$3:$I$52,4,FALSE)+VLOOKUP(A20,'Dairy State Manure Mgmt'!$B$3:$I$52,5,FALSE)</f>
        <v>14</v>
      </c>
      <c r="O20" s="33">
        <f>+VLOOKUP(A20,'Dairy State Manure Mgmt'!$B$3:$I$52,6,FALSE)+VLOOKUP(A20,'Dairy State Manure Mgmt'!$B$3:$I$52,8,FALSE)</f>
        <v>13</v>
      </c>
      <c r="P20" s="33">
        <f>+VLOOKUP(A20,'Dairy State Manure Mgmt'!$B$3:$I$52,7,FALSE)</f>
        <v>23</v>
      </c>
      <c r="Q20" s="33">
        <v>0</v>
      </c>
      <c r="R20" s="34">
        <f>VLOOKUP(A20,'Dairy State Manure Mgmt'!$B$3:$I$52,2,FALSE)+VLOOKUP(A20,'Dairy State Manure Mgmt'!$B$3:$I$52,3,FALSE)</f>
        <v>51</v>
      </c>
      <c r="S20" s="34">
        <f t="shared" si="0"/>
        <v>-1</v>
      </c>
      <c r="T20" s="34">
        <f t="shared" si="1"/>
        <v>101</v>
      </c>
      <c r="U20" s="144">
        <f t="shared" si="2"/>
        <v>88.208251464</v>
      </c>
      <c r="V20" s="142">
        <f>(IF(B20="dairy cows",VLOOKUP(A20,'volatile solids and nex'!$B$4:$M$53,7,FALSE)) )</f>
        <v>1255</v>
      </c>
      <c r="W20" s="145">
        <f>IF(B20="dairy cows",VLOOKUP(A20,'volatile solids and nex'!$B$4:$M$54,5,FALSE)*('Dairy Animal Numbers, Mass, Mil'!$K$19/1000) ) * 365</f>
        <v>313.80447103200004</v>
      </c>
      <c r="X20" s="143">
        <f>IF(B20="dairy cows",VLOOKUP(A20,'volatile solids and nex'!$B$4:$P$53,15,FALSE),0)</f>
        <v>69</v>
      </c>
      <c r="Y20" s="33">
        <v>0.17</v>
      </c>
      <c r="Z20" s="34">
        <f>VLOOKUP($A20,'Dairy State Manure Mgmt'!$M$2:$Q$52,3,FALSE)</f>
        <v>24</v>
      </c>
      <c r="AA20" s="34">
        <f>VLOOKUP($A20,'Dairy State Manure Mgmt'!$M$2:$Q$52,4,FALSE)</f>
        <v>0</v>
      </c>
      <c r="AB20" s="34">
        <v>0</v>
      </c>
      <c r="AC20" s="34">
        <v>0</v>
      </c>
      <c r="AD20" s="34">
        <f>VLOOKUP($A20,'Dairy State Manure Mgmt'!$M$2:$Q$52,2,FALSE)+VLOOKUP($A20,'Dairy State Manure Mgmt'!$M$2:$Q$52,5,FALSE)</f>
        <v>75</v>
      </c>
      <c r="AE20" s="146">
        <f t="shared" si="3"/>
        <v>1</v>
      </c>
      <c r="AF20" s="146">
        <f t="shared" si="4"/>
        <v>99</v>
      </c>
      <c r="AG20" s="147">
        <f t="shared" si="5"/>
        <v>0.83683337250000012</v>
      </c>
      <c r="AH20" s="144">
        <f t="shared" si="6"/>
        <v>0.20924466438190215</v>
      </c>
      <c r="AI20" s="34">
        <f t="shared" si="7"/>
        <v>0.73139999999999994</v>
      </c>
      <c r="AJ20" s="34">
        <f t="shared" si="8"/>
        <v>0.33119999999999999</v>
      </c>
      <c r="AK20" s="148">
        <f>(H20 * 0.26 * 0.01 ) +            (H20 * ( ((VLOOKUP(A20,'avg ann temp, manure EFs'!$B$1:$AA$55,22,FALSE)/100*N20/100)+(VLOOKUP(A20,'avg ann temp, manure EFs'!$B$1:$AA$55,23,FALSE)/100*O20/100)+(VLOOKUP(A20,'avg ann temp, manure EFs'!$B$1:$AA$55,19,FALSE)/100*P20/100)+(0.05*R20/100) )  * 0.0075 ))</f>
        <v>0.6270960000000001</v>
      </c>
      <c r="AL20" s="148">
        <f>(X20 * 0.43 * 0.01 ) +            (X20 * ( ((VLOOKUP(A20,'avg ann temp, manure EFs'!$B$1:$AA$55,22,FALSE)/100*Z20/100)+(VLOOKUP(A20,'avg ann temp, manure EFs'!$B$1:$AA$55,23,FALSE)/100*AA20/100)+(VLOOKUP(A20,'avg ann temp, manure EFs'!$B$1:$AA$55,19,FALSE)/100*AB20/100)+(0.05*AD20/100) )  * 0.0075 ))</f>
        <v>0.33473624999999996</v>
      </c>
      <c r="AM20" s="149">
        <f>(('Dairy Manure Inventory'!U20*'Dairy Manure Inventory'!C20)/1000/1000000)*28</f>
        <v>0.12102172100860799</v>
      </c>
      <c r="AN20" s="149">
        <f>(('Dairy Manure Inventory'!AH20*'Dairy Manure Inventory'!D20)/1000/1000000)*28 + (('Dairy Manure Inventory'!AG20*('Dairy Manure Inventory'!E20+'Dairy Manure Inventory'!F20) )/1000/1000000)*28</f>
        <v>1.0837246422673317E-3</v>
      </c>
      <c r="AO20" s="149">
        <f>(( ('Dairy Manure Inventory'!AI20+'Dairy Manure Inventory'!AK20) * 'Dairy Manure Inventory'!C20)/1000/1000000)*265</f>
        <v>1.7640070560000002E-2</v>
      </c>
      <c r="AP20" s="150">
        <f>(( ('Dairy Manure Inventory'!AJ20+'Dairy Manure Inventory'!AL20) * ('Dairy Manure Inventory'!D20+'Dairy Manure Inventory'!E20+'Dairy Manure Inventory'!F20) /1000/1000000)*265)</f>
        <v>1.1470751906249998E-2</v>
      </c>
      <c r="AQ20" s="43">
        <f t="shared" si="9"/>
        <v>0.15121626811712532</v>
      </c>
    </row>
    <row r="21" spans="1:43" ht="15.75" customHeight="1">
      <c r="A21" s="109" t="s">
        <v>54</v>
      </c>
      <c r="B21" s="33" t="s">
        <v>147</v>
      </c>
      <c r="C21" s="131">
        <f>VLOOKUP(A21,'Dairy Animal Numbers, Mass, Mil'!$B$4:$H$51,2,FALSE)</f>
        <v>10000</v>
      </c>
      <c r="D21" s="125">
        <f>VLOOKUP($A21,'Dairy Animal Numbers, Mass, Mil'!$B$4:$F$52,3,FALSE)</f>
        <v>5000</v>
      </c>
      <c r="E21" s="125">
        <f>VLOOKUP($A21,'Dairy Animal Numbers, Mass, Mil'!$B$4:$F$52,4,FALSE)</f>
        <v>1000</v>
      </c>
      <c r="F21" s="125">
        <f>VLOOKUP($A21,'Dairy Animal Numbers, Mass, Mil'!$B$4:$F$52,5,FALSE)</f>
        <v>2000</v>
      </c>
      <c r="G21" s="142">
        <f>IF(B21="dairy cows",VLOOKUP(A21,'volatile solids and nex'!$B$4:$P$53,6,FALSE),0)</f>
        <v>2098</v>
      </c>
      <c r="H21" s="143">
        <f>IF(B21="dairy cows",VLOOKUP(A21,'volatile solids and nex'!$B$4:$P$53,14,FALSE),0)</f>
        <v>127</v>
      </c>
      <c r="I21" s="120">
        <v>0.24</v>
      </c>
      <c r="J21" s="33">
        <f>VLOOKUP(A21,'avg ann temp, manure EFs'!$B$3:$J$52,6,FALSE)</f>
        <v>1.5</v>
      </c>
      <c r="K21" s="33">
        <f>VLOOKUP(A21,'avg ann temp, manure EFs'!$B$3:$J$52,5,FALSE)</f>
        <v>50</v>
      </c>
      <c r="L21" s="33">
        <f>VLOOKUP(A21,'avg ann temp, manure EFs'!$B$3:$J$52,4,FALSE)</f>
        <v>78</v>
      </c>
      <c r="M21" s="33">
        <f>VLOOKUP(A21,'avg ann temp, manure EFs'!$B$3:$J$52,9,FALSE)</f>
        <v>50</v>
      </c>
      <c r="N21" s="33">
        <f>VLOOKUP(A21,'Dairy State Manure Mgmt'!$B$3:$I$52,4,FALSE)+VLOOKUP(A21,'Dairy State Manure Mgmt'!$B$3:$I$52,5,FALSE)</f>
        <v>13</v>
      </c>
      <c r="O21" s="33">
        <f>+VLOOKUP(A21,'Dairy State Manure Mgmt'!$B$3:$I$52,6,FALSE)+VLOOKUP(A21,'Dairy State Manure Mgmt'!$B$3:$I$52,8,FALSE)</f>
        <v>15</v>
      </c>
      <c r="P21" s="33">
        <f>+VLOOKUP(A21,'Dairy State Manure Mgmt'!$B$3:$I$52,7,FALSE)</f>
        <v>23</v>
      </c>
      <c r="Q21" s="33">
        <v>0</v>
      </c>
      <c r="R21" s="34">
        <f>VLOOKUP(A21,'Dairy State Manure Mgmt'!$B$3:$I$52,2,FALSE)+VLOOKUP(A21,'Dairy State Manure Mgmt'!$B$3:$I$52,3,FALSE)</f>
        <v>48</v>
      </c>
      <c r="S21" s="34">
        <f t="shared" si="0"/>
        <v>1</v>
      </c>
      <c r="T21" s="34">
        <f t="shared" si="1"/>
        <v>99</v>
      </c>
      <c r="U21" s="144">
        <f t="shared" si="2"/>
        <v>85.451463023999992</v>
      </c>
      <c r="V21" s="142">
        <f>(IF(B21="dairy cows",VLOOKUP(A21,'volatile solids and nex'!$B$4:$M$53,7,FALSE)) )</f>
        <v>1255</v>
      </c>
      <c r="W21" s="145">
        <f>IF(B21="dairy cows",VLOOKUP(A21,'volatile solids and nex'!$B$4:$M$54,5,FALSE)*('Dairy Animal Numbers, Mass, Mil'!$K$19/1000) ) * 365</f>
        <v>312.91044120000004</v>
      </c>
      <c r="X21" s="143">
        <f>IF(B21="dairy cows",VLOOKUP(A21,'volatile solids and nex'!$B$4:$P$53,15,FALSE),0)</f>
        <v>69</v>
      </c>
      <c r="Y21" s="33">
        <v>0.17</v>
      </c>
      <c r="Z21" s="34">
        <f>VLOOKUP($A21,'Dairy State Manure Mgmt'!$M$2:$Q$52,3,FALSE)</f>
        <v>26</v>
      </c>
      <c r="AA21" s="34">
        <f>VLOOKUP($A21,'Dairy State Manure Mgmt'!$M$2:$Q$52,4,FALSE)</f>
        <v>0</v>
      </c>
      <c r="AB21" s="34">
        <v>0</v>
      </c>
      <c r="AC21" s="34">
        <v>0</v>
      </c>
      <c r="AD21" s="34">
        <f>VLOOKUP($A21,'Dairy State Manure Mgmt'!$M$2:$Q$52,2,FALSE)+VLOOKUP($A21,'Dairy State Manure Mgmt'!$M$2:$Q$52,5,FALSE)</f>
        <v>74</v>
      </c>
      <c r="AE21" s="146">
        <f t="shared" si="3"/>
        <v>0</v>
      </c>
      <c r="AF21" s="146">
        <f t="shared" si="4"/>
        <v>100</v>
      </c>
      <c r="AG21" s="147">
        <f t="shared" si="5"/>
        <v>1.0420517506000002</v>
      </c>
      <c r="AH21" s="144">
        <f t="shared" si="6"/>
        <v>0.25981583508643702</v>
      </c>
      <c r="AI21" s="34">
        <f t="shared" si="7"/>
        <v>0.57150000000000001</v>
      </c>
      <c r="AJ21" s="34">
        <f t="shared" si="8"/>
        <v>0.35880000000000001</v>
      </c>
      <c r="AK21" s="148">
        <f>(H21 * 0.26 * 0.01 ) +            (H21 * ( ((VLOOKUP(A21,'avg ann temp, manure EFs'!$B$1:$AA$55,22,FALSE)/100*N21/100)+(VLOOKUP(A21,'avg ann temp, manure EFs'!$B$1:$AA$55,23,FALSE)/100*O21/100)+(VLOOKUP(A21,'avg ann temp, manure EFs'!$B$1:$AA$55,19,FALSE)/100*P21/100)+(0.05*R21/100) )  * 0.0075 ))</f>
        <v>0.50298350000000003</v>
      </c>
      <c r="AL21" s="148">
        <f>(X21 * 0.43 * 0.01 ) +            (X21 * ( ((VLOOKUP(A21,'avg ann temp, manure EFs'!$B$1:$AA$55,22,FALSE)/100*Z21/100)+(VLOOKUP(A21,'avg ann temp, manure EFs'!$B$1:$AA$55,23,FALSE)/100*AA21/100)+(VLOOKUP(A21,'avg ann temp, manure EFs'!$B$1:$AA$55,19,FALSE)/100*AB21/100)+(0.05*AD21/100) )  * 0.0075 ))</f>
        <v>0.33602999999999994</v>
      </c>
      <c r="AM21" s="149">
        <f>(('Dairy Manure Inventory'!U21*'Dairy Manure Inventory'!C21)/1000/1000000)*28</f>
        <v>2.392640964672E-2</v>
      </c>
      <c r="AN21" s="149">
        <f>(('Dairy Manure Inventory'!AH21*'Dairy Manure Inventory'!D21)/1000/1000000)*28 + (('Dairy Manure Inventory'!AG21*('Dairy Manure Inventory'!E21+'Dairy Manure Inventory'!F21) )/1000/1000000)*28</f>
        <v>1.2390656396250123E-4</v>
      </c>
      <c r="AO21" s="149">
        <f>(( ('Dairy Manure Inventory'!AI21+'Dairy Manure Inventory'!AK21) * 'Dairy Manure Inventory'!C21)/1000/1000000)*265</f>
        <v>2.8473812749999997E-3</v>
      </c>
      <c r="AP21" s="150">
        <f>(( ('Dairy Manure Inventory'!AJ21+'Dairy Manure Inventory'!AL21) * ('Dairy Manure Inventory'!D21+'Dairy Manure Inventory'!E21+'Dairy Manure Inventory'!F21) /1000/1000000)*265)</f>
        <v>1.4730396E-3</v>
      </c>
      <c r="AQ21" s="43">
        <f t="shared" si="9"/>
        <v>2.8370737085682499E-2</v>
      </c>
    </row>
    <row r="22" spans="1:43" ht="15.75" customHeight="1">
      <c r="A22" s="109" t="s">
        <v>55</v>
      </c>
      <c r="B22" s="33" t="s">
        <v>147</v>
      </c>
      <c r="C22" s="131">
        <f>VLOOKUP(A22,'Dairy Animal Numbers, Mass, Mil'!$B$4:$H$51,2,FALSE)</f>
        <v>10000</v>
      </c>
      <c r="D22" s="125">
        <f>VLOOKUP($A22,'Dairy Animal Numbers, Mass, Mil'!$B$4:$F$52,3,FALSE)</f>
        <v>5000</v>
      </c>
      <c r="E22" s="125">
        <f>VLOOKUP($A22,'Dairy Animal Numbers, Mass, Mil'!$B$4:$F$52,4,FALSE)</f>
        <v>2000</v>
      </c>
      <c r="F22" s="125">
        <f>VLOOKUP($A22,'Dairy Animal Numbers, Mass, Mil'!$B$4:$F$52,5,FALSE)</f>
        <v>5000</v>
      </c>
      <c r="G22" s="142">
        <f>IF(B22="dairy cows",VLOOKUP(A22,'volatile solids and nex'!$B$4:$P$53,6,FALSE),0)</f>
        <v>2576</v>
      </c>
      <c r="H22" s="143">
        <f>IF(B22="dairy cows",VLOOKUP(A22,'volatile solids and nex'!$B$4:$P$53,14,FALSE),0)</f>
        <v>147</v>
      </c>
      <c r="I22" s="120">
        <v>0.24</v>
      </c>
      <c r="J22" s="33">
        <f>VLOOKUP(A22,'avg ann temp, manure EFs'!$B$3:$J$52,6,FALSE)</f>
        <v>1</v>
      </c>
      <c r="K22" s="33">
        <f>VLOOKUP(A22,'avg ann temp, manure EFs'!$B$3:$J$52,5,FALSE)</f>
        <v>25</v>
      </c>
      <c r="L22" s="33">
        <f>VLOOKUP(A22,'avg ann temp, manure EFs'!$B$3:$J$52,4,FALSE)</f>
        <v>69</v>
      </c>
      <c r="M22" s="33">
        <f>VLOOKUP(A22,'avg ann temp, manure EFs'!$B$3:$J$52,9,FALSE)</f>
        <v>50</v>
      </c>
      <c r="N22" s="33">
        <f>VLOOKUP(A22,'Dairy State Manure Mgmt'!$B$3:$I$52,4,FALSE)+VLOOKUP(A22,'Dairy State Manure Mgmt'!$B$3:$I$52,5,FALSE)</f>
        <v>17</v>
      </c>
      <c r="O22" s="33">
        <f>+VLOOKUP(A22,'Dairy State Manure Mgmt'!$B$3:$I$52,6,FALSE)+VLOOKUP(A22,'Dairy State Manure Mgmt'!$B$3:$I$52,8,FALSE)</f>
        <v>36</v>
      </c>
      <c r="P22" s="33">
        <f>+VLOOKUP(A22,'Dairy State Manure Mgmt'!$B$3:$I$52,7,FALSE)</f>
        <v>17</v>
      </c>
      <c r="Q22" s="33">
        <v>0</v>
      </c>
      <c r="R22" s="34">
        <f>VLOOKUP(A22,'Dairy State Manure Mgmt'!$B$3:$I$52,2,FALSE)+VLOOKUP(A22,'Dairy State Manure Mgmt'!$B$3:$I$52,3,FALSE)</f>
        <v>30</v>
      </c>
      <c r="S22" s="34">
        <f t="shared" si="0"/>
        <v>0</v>
      </c>
      <c r="T22" s="34">
        <f t="shared" si="1"/>
        <v>100</v>
      </c>
      <c r="U22" s="144">
        <f t="shared" si="2"/>
        <v>85.539859919999998</v>
      </c>
      <c r="V22" s="142">
        <f>(IF(B22="dairy cows",VLOOKUP(A22,'volatile solids and nex'!$B$4:$M$53,7,FALSE)) )</f>
        <v>1255</v>
      </c>
      <c r="W22" s="145">
        <f>IF(B22="dairy cows",VLOOKUP(A22,'volatile solids and nex'!$B$4:$M$54,5,FALSE)*('Dairy Animal Numbers, Mass, Mil'!$K$19/1000) ) * 365</f>
        <v>308.44029204000003</v>
      </c>
      <c r="X22" s="143">
        <f>IF(B22="dairy cows",VLOOKUP(A22,'volatile solids and nex'!$B$4:$P$53,15,FALSE),0)</f>
        <v>69</v>
      </c>
      <c r="Y22" s="33">
        <v>0.17</v>
      </c>
      <c r="Z22" s="34">
        <f>VLOOKUP($A22,'Dairy State Manure Mgmt'!$M$2:$Q$52,3,FALSE)</f>
        <v>47</v>
      </c>
      <c r="AA22" s="34">
        <f>VLOOKUP($A22,'Dairy State Manure Mgmt'!$M$2:$Q$52,4,FALSE)</f>
        <v>0</v>
      </c>
      <c r="AB22" s="34">
        <v>0</v>
      </c>
      <c r="AC22" s="34">
        <v>0</v>
      </c>
      <c r="AD22" s="34">
        <f>VLOOKUP($A22,'Dairy State Manure Mgmt'!$M$2:$Q$52,2,FALSE)+VLOOKUP($A22,'Dairy State Manure Mgmt'!$M$2:$Q$52,5,FALSE)</f>
        <v>52</v>
      </c>
      <c r="AE22" s="146">
        <f t="shared" si="3"/>
        <v>1</v>
      </c>
      <c r="AF22" s="146">
        <f t="shared" si="4"/>
        <v>99</v>
      </c>
      <c r="AG22" s="147">
        <f t="shared" si="5"/>
        <v>1.0090021288000002</v>
      </c>
      <c r="AH22" s="144">
        <f t="shared" si="6"/>
        <v>0.24798160261040142</v>
      </c>
      <c r="AI22" s="34">
        <f t="shared" si="7"/>
        <v>0.88934999999999997</v>
      </c>
      <c r="AJ22" s="34">
        <f t="shared" si="8"/>
        <v>0.64860000000000007</v>
      </c>
      <c r="AK22" s="148">
        <f>(H22 * 0.26 * 0.01 ) +            (H22 * ( ((VLOOKUP(A22,'avg ann temp, manure EFs'!$B$1:$AA$55,22,FALSE)/100*N22/100)+(VLOOKUP(A22,'avg ann temp, manure EFs'!$B$1:$AA$55,23,FALSE)/100*O22/100)+(VLOOKUP(A22,'avg ann temp, manure EFs'!$B$1:$AA$55,19,FALSE)/100*P22/100)+(0.05*R22/100) )  * 0.0075 ))</f>
        <v>0.61063800000000001</v>
      </c>
      <c r="AL22" s="148">
        <f>(X22 * 0.43 * 0.01 ) +            (X22 * ( ((VLOOKUP(A22,'avg ann temp, manure EFs'!$B$1:$AA$55,22,FALSE)/100*Z22/100)+(VLOOKUP(A22,'avg ann temp, manure EFs'!$B$1:$AA$55,23,FALSE)/100*AA22/100)+(VLOOKUP(A22,'avg ann temp, manure EFs'!$B$1:$AA$55,19,FALSE)/100*AB22/100)+(0.05*AD22/100) )  * 0.0075 ))</f>
        <v>0.34663874999999994</v>
      </c>
      <c r="AM22" s="149">
        <f>(('Dairy Manure Inventory'!U22*'Dairy Manure Inventory'!C22)/1000/1000000)*28</f>
        <v>2.3951160777599997E-2</v>
      </c>
      <c r="AN22" s="149">
        <f>(('Dairy Manure Inventory'!AH22*'Dairy Manure Inventory'!D22)/1000/1000000)*28 + (('Dairy Manure Inventory'!AG22*('Dairy Manure Inventory'!E22+'Dairy Manure Inventory'!F22) )/1000/1000000)*28</f>
        <v>2.3248184161025624E-4</v>
      </c>
      <c r="AO22" s="149">
        <f>(( ('Dairy Manure Inventory'!AI22+'Dairy Manure Inventory'!AK22) * 'Dairy Manure Inventory'!C22)/1000/1000000)*265</f>
        <v>3.9749681999999998E-3</v>
      </c>
      <c r="AP22" s="150">
        <f>(( ('Dairy Manure Inventory'!AJ22+'Dairy Manure Inventory'!AL22) * ('Dairy Manure Inventory'!D22+'Dairy Manure Inventory'!E22+'Dairy Manure Inventory'!F22) /1000/1000000)*265)</f>
        <v>3.1648592249999999E-3</v>
      </c>
      <c r="AQ22" s="43">
        <f t="shared" si="9"/>
        <v>3.1323470044210253E-2</v>
      </c>
    </row>
    <row r="23" spans="1:43" ht="15.75" customHeight="1">
      <c r="A23" s="109" t="s">
        <v>56</v>
      </c>
      <c r="B23" s="33" t="s">
        <v>147</v>
      </c>
      <c r="C23" s="131">
        <f>VLOOKUP(A23,'Dairy Animal Numbers, Mass, Mil'!$B$4:$H$51,2,FALSE)</f>
        <v>42000</v>
      </c>
      <c r="D23" s="125">
        <f>VLOOKUP($A23,'Dairy Animal Numbers, Mass, Mil'!$B$4:$F$52,3,FALSE)</f>
        <v>22000</v>
      </c>
      <c r="E23" s="125">
        <f>VLOOKUP($A23,'Dairy Animal Numbers, Mass, Mil'!$B$4:$F$52,4,FALSE)</f>
        <v>8000</v>
      </c>
      <c r="F23" s="125">
        <f>VLOOKUP($A23,'Dairy Animal Numbers, Mass, Mil'!$B$4:$F$52,5,FALSE)</f>
        <v>18000</v>
      </c>
      <c r="G23" s="142">
        <f>IF(B23="dairy cows",VLOOKUP(A23,'volatile solids and nex'!$B$4:$P$53,6,FALSE),0)</f>
        <v>2651</v>
      </c>
      <c r="H23" s="143">
        <f>IF(B23="dairy cows",VLOOKUP(A23,'volatile solids and nex'!$B$4:$P$53,14,FALSE),0)</f>
        <v>150</v>
      </c>
      <c r="I23" s="120">
        <v>0.24</v>
      </c>
      <c r="J23" s="33">
        <f>VLOOKUP(A23,'avg ann temp, manure EFs'!$B$3:$J$52,6,FALSE)</f>
        <v>1</v>
      </c>
      <c r="K23" s="33">
        <f>VLOOKUP(A23,'avg ann temp, manure EFs'!$B$3:$J$52,5,FALSE)</f>
        <v>31</v>
      </c>
      <c r="L23" s="33">
        <f>VLOOKUP(A23,'avg ann temp, manure EFs'!$B$3:$J$52,4,FALSE)</f>
        <v>74</v>
      </c>
      <c r="M23" s="33">
        <f>VLOOKUP(A23,'avg ann temp, manure EFs'!$B$3:$J$52,9,FALSE)</f>
        <v>50</v>
      </c>
      <c r="N23" s="33">
        <f>VLOOKUP(A23,'Dairy State Manure Mgmt'!$B$3:$I$52,4,FALSE)+VLOOKUP(A23,'Dairy State Manure Mgmt'!$B$3:$I$52,5,FALSE)</f>
        <v>16</v>
      </c>
      <c r="O23" s="33">
        <f>+VLOOKUP(A23,'Dairy State Manure Mgmt'!$B$3:$I$52,6,FALSE)+VLOOKUP(A23,'Dairy State Manure Mgmt'!$B$3:$I$52,8,FALSE)</f>
        <v>35</v>
      </c>
      <c r="P23" s="33">
        <f>+VLOOKUP(A23,'Dairy State Manure Mgmt'!$B$3:$I$52,7,FALSE)</f>
        <v>23</v>
      </c>
      <c r="Q23" s="33">
        <v>0</v>
      </c>
      <c r="R23" s="34">
        <f>VLOOKUP(A23,'Dairy State Manure Mgmt'!$B$3:$I$52,2,FALSE)+VLOOKUP(A23,'Dairy State Manure Mgmt'!$B$3:$I$52,3,FALSE)</f>
        <v>25</v>
      </c>
      <c r="S23" s="34">
        <f t="shared" si="0"/>
        <v>1</v>
      </c>
      <c r="T23" s="34">
        <f t="shared" si="1"/>
        <v>99</v>
      </c>
      <c r="U23" s="144">
        <f t="shared" si="2"/>
        <v>118.060978664</v>
      </c>
      <c r="V23" s="142">
        <f>(IF(B23="dairy cows",VLOOKUP(A23,'volatile solids and nex'!$B$4:$M$53,7,FALSE)) )</f>
        <v>1255</v>
      </c>
      <c r="W23" s="145">
        <f>IF(B23="dairy cows",VLOOKUP(A23,'volatile solids and nex'!$B$4:$M$54,5,FALSE)*('Dairy Animal Numbers, Mass, Mil'!$K$19/1000) ) * 365</f>
        <v>308.44029204000003</v>
      </c>
      <c r="X23" s="143">
        <f>IF(B23="dairy cows",VLOOKUP(A23,'volatile solids and nex'!$B$4:$P$53,15,FALSE),0)</f>
        <v>69</v>
      </c>
      <c r="Y23" s="33">
        <v>0.17</v>
      </c>
      <c r="Z23" s="34">
        <f>VLOOKUP($A23,'Dairy State Manure Mgmt'!$M$2:$Q$52,3,FALSE)</f>
        <v>49</v>
      </c>
      <c r="AA23" s="34">
        <f>VLOOKUP($A23,'Dairy State Manure Mgmt'!$M$2:$Q$52,4,FALSE)</f>
        <v>0</v>
      </c>
      <c r="AB23" s="34">
        <v>0</v>
      </c>
      <c r="AC23" s="34">
        <v>0</v>
      </c>
      <c r="AD23" s="34">
        <f>VLOOKUP($A23,'Dairy State Manure Mgmt'!$M$2:$Q$52,2,FALSE)+VLOOKUP($A23,'Dairy State Manure Mgmt'!$M$2:$Q$52,5,FALSE)</f>
        <v>51</v>
      </c>
      <c r="AE23" s="146">
        <f t="shared" si="3"/>
        <v>0</v>
      </c>
      <c r="AF23" s="146">
        <f t="shared" si="4"/>
        <v>100</v>
      </c>
      <c r="AG23" s="147">
        <f t="shared" si="5"/>
        <v>1.0306114969</v>
      </c>
      <c r="AH23" s="144">
        <f t="shared" si="6"/>
        <v>0.25329251879172721</v>
      </c>
      <c r="AI23" s="34">
        <f t="shared" si="7"/>
        <v>0.91500000000000004</v>
      </c>
      <c r="AJ23" s="34">
        <f t="shared" si="8"/>
        <v>0.67620000000000002</v>
      </c>
      <c r="AK23" s="148">
        <f>(H23 * 0.26 * 0.01 ) +            (H23 * ( ((VLOOKUP(A23,'avg ann temp, manure EFs'!$B$1:$AA$55,22,FALSE)/100*N23/100)+(VLOOKUP(A23,'avg ann temp, manure EFs'!$B$1:$AA$55,23,FALSE)/100*O23/100)+(VLOOKUP(A23,'avg ann temp, manure EFs'!$B$1:$AA$55,19,FALSE)/100*P23/100)+(0.05*R23/100) )  * 0.0075 ))</f>
        <v>0.64470000000000005</v>
      </c>
      <c r="AL23" s="148">
        <f>(X23 * 0.43 * 0.01 ) +            (X23 * ( ((VLOOKUP(A23,'avg ann temp, manure EFs'!$B$1:$AA$55,22,FALSE)/100*Z23/100)+(VLOOKUP(A23,'avg ann temp, manure EFs'!$B$1:$AA$55,23,FALSE)/100*AA23/100)+(VLOOKUP(A23,'avg ann temp, manure EFs'!$B$1:$AA$55,19,FALSE)/100*AB23/100)+(0.05*AD23/100) )  * 0.0075 ))</f>
        <v>0.34793249999999998</v>
      </c>
      <c r="AM23" s="149">
        <f>(('Dairy Manure Inventory'!U23*'Dairy Manure Inventory'!C23)/1000/1000000)*28</f>
        <v>0.13883971090886402</v>
      </c>
      <c r="AN23" s="149">
        <f>(('Dairy Manure Inventory'!AH23*'Dairy Manure Inventory'!D23)/1000/1000000)*28 + (('Dairy Manure Inventory'!AG23*('Dairy Manure Inventory'!E23+'Dairy Manure Inventory'!F23) )/1000/1000000)*28</f>
        <v>9.06313361318904E-4</v>
      </c>
      <c r="AO23" s="149">
        <f>(( ('Dairy Manure Inventory'!AI23+'Dairy Manure Inventory'!AK23) * 'Dairy Manure Inventory'!C23)/1000/1000000)*265</f>
        <v>1.7359461000000003E-2</v>
      </c>
      <c r="AP23" s="150">
        <f>(( ('Dairy Manure Inventory'!AJ23+'Dairy Manure Inventory'!AL23) * ('Dairy Manure Inventory'!D23+'Dairy Manure Inventory'!E23+'Dairy Manure Inventory'!F23) /1000/1000000)*265)</f>
        <v>1.30269654E-2</v>
      </c>
      <c r="AQ23" s="43">
        <f t="shared" si="9"/>
        <v>0.17013245067018293</v>
      </c>
    </row>
    <row r="24" spans="1:43" ht="15.75" customHeight="1">
      <c r="A24" s="109" t="s">
        <v>57</v>
      </c>
      <c r="B24" s="33" t="s">
        <v>147</v>
      </c>
      <c r="C24" s="131">
        <f>VLOOKUP(A24,'Dairy Animal Numbers, Mass, Mil'!$B$4:$H$51,2,FALSE)</f>
        <v>28000</v>
      </c>
      <c r="D24" s="125">
        <f>VLOOKUP($A24,'Dairy Animal Numbers, Mass, Mil'!$B$4:$F$52,3,FALSE)</f>
        <v>14000</v>
      </c>
      <c r="E24" s="125">
        <f>VLOOKUP($A24,'Dairy Animal Numbers, Mass, Mil'!$B$4:$F$52,4,FALSE)</f>
        <v>4000</v>
      </c>
      <c r="F24" s="125">
        <f>VLOOKUP($A24,'Dairy Animal Numbers, Mass, Mil'!$B$4:$F$52,5,FALSE)</f>
        <v>10000</v>
      </c>
      <c r="G24" s="142">
        <f>IF(B24="dairy cows",VLOOKUP(A24,'volatile solids and nex'!$B$4:$P$53,6,FALSE),0)</f>
        <v>2730</v>
      </c>
      <c r="H24" s="143">
        <f>IF(B24="dairy cows",VLOOKUP(A24,'volatile solids and nex'!$B$4:$P$53,14,FALSE),0)</f>
        <v>154</v>
      </c>
      <c r="I24" s="120">
        <v>0.24</v>
      </c>
      <c r="J24" s="33">
        <f>VLOOKUP(A24,'avg ann temp, manure EFs'!$B$3:$J$52,6,FALSE)</f>
        <v>1</v>
      </c>
      <c r="K24" s="33">
        <f>VLOOKUP(A24,'avg ann temp, manure EFs'!$B$3:$J$52,5,FALSE)</f>
        <v>21</v>
      </c>
      <c r="L24" s="33">
        <f>VLOOKUP(A24,'avg ann temp, manure EFs'!$B$3:$J$52,4,FALSE)</f>
        <v>64</v>
      </c>
      <c r="M24" s="33">
        <f>VLOOKUP(A24,'avg ann temp, manure EFs'!$B$3:$J$52,9,FALSE)</f>
        <v>50</v>
      </c>
      <c r="N24" s="33">
        <f>VLOOKUP(A24,'Dairy State Manure Mgmt'!$B$3:$I$52,4,FALSE)+VLOOKUP(A24,'Dairy State Manure Mgmt'!$B$3:$I$52,5,FALSE)</f>
        <v>16</v>
      </c>
      <c r="O24" s="33">
        <f>+VLOOKUP(A24,'Dairy State Manure Mgmt'!$B$3:$I$52,6,FALSE)+VLOOKUP(A24,'Dairy State Manure Mgmt'!$B$3:$I$52,8,FALSE)</f>
        <v>33</v>
      </c>
      <c r="P24" s="33">
        <f>+VLOOKUP(A24,'Dairy State Manure Mgmt'!$B$3:$I$52,7,FALSE)</f>
        <v>30</v>
      </c>
      <c r="Q24" s="33">
        <v>0</v>
      </c>
      <c r="R24" s="34">
        <f>VLOOKUP(A24,'Dairy State Manure Mgmt'!$B$3:$I$52,2,FALSE)+VLOOKUP(A24,'Dairy State Manure Mgmt'!$B$3:$I$52,3,FALSE)</f>
        <v>22</v>
      </c>
      <c r="S24" s="34">
        <f t="shared" si="0"/>
        <v>-1</v>
      </c>
      <c r="T24" s="34">
        <f t="shared" si="1"/>
        <v>101</v>
      </c>
      <c r="U24" s="144">
        <f t="shared" si="2"/>
        <v>114.03191096</v>
      </c>
      <c r="V24" s="142">
        <f>(IF(B24="dairy cows",VLOOKUP(A24,'volatile solids and nex'!$B$4:$M$53,7,FALSE)) )</f>
        <v>1255</v>
      </c>
      <c r="W24" s="145">
        <f>IF(B24="dairy cows",VLOOKUP(A24,'volatile solids and nex'!$B$4:$M$54,5,FALSE)*('Dairy Animal Numbers, Mass, Mil'!$K$19/1000) ) * 365</f>
        <v>308.44029204000003</v>
      </c>
      <c r="X24" s="143">
        <f>IF(B24="dairy cows",VLOOKUP(A24,'volatile solids and nex'!$B$4:$P$53,15,FALSE),0)</f>
        <v>69</v>
      </c>
      <c r="Y24" s="33">
        <v>0.17</v>
      </c>
      <c r="Z24" s="34">
        <f>VLOOKUP($A24,'Dairy State Manure Mgmt'!$M$2:$Q$52,3,FALSE)</f>
        <v>48</v>
      </c>
      <c r="AA24" s="34">
        <f>VLOOKUP($A24,'Dairy State Manure Mgmt'!$M$2:$Q$52,4,FALSE)</f>
        <v>0</v>
      </c>
      <c r="AB24" s="34">
        <v>0</v>
      </c>
      <c r="AC24" s="34">
        <v>0</v>
      </c>
      <c r="AD24" s="34">
        <f>VLOOKUP($A24,'Dairy State Manure Mgmt'!$M$2:$Q$52,2,FALSE)+VLOOKUP($A24,'Dairy State Manure Mgmt'!$M$2:$Q$52,5,FALSE)</f>
        <v>52</v>
      </c>
      <c r="AE24" s="146">
        <f t="shared" si="3"/>
        <v>0</v>
      </c>
      <c r="AF24" s="146">
        <f t="shared" si="4"/>
        <v>100</v>
      </c>
      <c r="AG24" s="147">
        <f t="shared" si="5"/>
        <v>1.0231258988</v>
      </c>
      <c r="AH24" s="144">
        <f t="shared" si="6"/>
        <v>0.25145278965701956</v>
      </c>
      <c r="AI24" s="34">
        <f t="shared" si="7"/>
        <v>0.97789999999999999</v>
      </c>
      <c r="AJ24" s="34">
        <f t="shared" si="8"/>
        <v>0.66239999999999999</v>
      </c>
      <c r="AK24" s="148">
        <f>(H24 * 0.26 * 0.01 ) +            (H24 * ( ((VLOOKUP(A24,'avg ann temp, manure EFs'!$B$1:$AA$55,22,FALSE)/100*N24/100)+(VLOOKUP(A24,'avg ann temp, manure EFs'!$B$1:$AA$55,23,FALSE)/100*O24/100)+(VLOOKUP(A24,'avg ann temp, manure EFs'!$B$1:$AA$55,19,FALSE)/100*P24/100)+(0.05*R24/100) )  * 0.0075 ))</f>
        <v>0.68891900000000006</v>
      </c>
      <c r="AL24" s="148">
        <f>(X24 * 0.43 * 0.01 ) +            (X24 * ( ((VLOOKUP(A24,'avg ann temp, manure EFs'!$B$1:$AA$55,22,FALSE)/100*Z24/100)+(VLOOKUP(A24,'avg ann temp, manure EFs'!$B$1:$AA$55,23,FALSE)/100*AA24/100)+(VLOOKUP(A24,'avg ann temp, manure EFs'!$B$1:$AA$55,19,FALSE)/100*AB24/100)+(0.05*AD24/100) )  * 0.0075 ))</f>
        <v>0.34741499999999997</v>
      </c>
      <c r="AM24" s="149">
        <f>(('Dairy Manure Inventory'!U24*'Dairy Manure Inventory'!C24)/1000/1000000)*28</f>
        <v>8.9401018192640014E-2</v>
      </c>
      <c r="AN24" s="149">
        <f>(('Dairy Manure Inventory'!AH24*'Dairy Manure Inventory'!D24)/1000/1000000)*28 + (('Dairy Manure Inventory'!AG24*('Dairy Manure Inventory'!E24+'Dairy Manure Inventory'!F24) )/1000/1000000)*28</f>
        <v>4.9963484587515171E-4</v>
      </c>
      <c r="AO24" s="149">
        <f>(( ('Dairy Manure Inventory'!AI24+'Dairy Manure Inventory'!AK24) * 'Dairy Manure Inventory'!C24)/1000/1000000)*265</f>
        <v>1.236779698E-2</v>
      </c>
      <c r="AP24" s="150">
        <f>(( ('Dairy Manure Inventory'!AJ24+'Dairy Manure Inventory'!AL24) * ('Dairy Manure Inventory'!D24+'Dairy Manure Inventory'!E24+'Dairy Manure Inventory'!F24) /1000/1000000)*265)</f>
        <v>7.4928272999999984E-3</v>
      </c>
      <c r="AQ24" s="43">
        <f t="shared" si="9"/>
        <v>0.10976127731851516</v>
      </c>
    </row>
    <row r="25" spans="1:43" ht="15.75" customHeight="1">
      <c r="A25" s="109" t="s">
        <v>58</v>
      </c>
      <c r="B25" s="33" t="s">
        <v>147</v>
      </c>
      <c r="C25" s="131">
        <f>VLOOKUP(A25,'Dairy Animal Numbers, Mass, Mil'!$B$4:$H$51,2,FALSE)</f>
        <v>427000</v>
      </c>
      <c r="D25" s="125">
        <f>VLOOKUP($A25,'Dairy Animal Numbers, Mass, Mil'!$B$4:$F$52,3,FALSE)</f>
        <v>221000</v>
      </c>
      <c r="E25" s="125">
        <f>VLOOKUP($A25,'Dairy Animal Numbers, Mass, Mil'!$B$4:$F$52,4,FALSE)</f>
        <v>51000</v>
      </c>
      <c r="F25" s="125">
        <f>VLOOKUP($A25,'Dairy Animal Numbers, Mass, Mil'!$B$4:$F$52,5,FALSE)</f>
        <v>122000</v>
      </c>
      <c r="G25" s="142">
        <f>IF(B25="dairy cows",VLOOKUP(A25,'volatile solids and nex'!$B$4:$P$53,6,FALSE),0)</f>
        <v>3116</v>
      </c>
      <c r="H25" s="143">
        <f>IF(B25="dairy cows",VLOOKUP(A25,'volatile solids and nex'!$B$4:$P$53,14,FALSE),0)</f>
        <v>170</v>
      </c>
      <c r="I25" s="120">
        <v>0.24</v>
      </c>
      <c r="J25" s="33">
        <f>VLOOKUP(A25,'avg ann temp, manure EFs'!$B$3:$J$52,6,FALSE)</f>
        <v>1</v>
      </c>
      <c r="K25" s="33">
        <f>VLOOKUP(A25,'avg ann temp, manure EFs'!$B$3:$J$52,5,FALSE)</f>
        <v>24</v>
      </c>
      <c r="L25" s="33">
        <f>VLOOKUP(A25,'avg ann temp, manure EFs'!$B$3:$J$52,4,FALSE)</f>
        <v>68</v>
      </c>
      <c r="M25" s="33">
        <f>VLOOKUP(A25,'avg ann temp, manure EFs'!$B$3:$J$52,9,FALSE)</f>
        <v>50</v>
      </c>
      <c r="N25" s="33">
        <f>VLOOKUP(A25,'Dairy State Manure Mgmt'!$B$3:$I$52,4,FALSE)+VLOOKUP(A25,'Dairy State Manure Mgmt'!$B$3:$I$52,5,FALSE)</f>
        <v>22</v>
      </c>
      <c r="O25" s="33">
        <f>+VLOOKUP(A25,'Dairy State Manure Mgmt'!$B$3:$I$52,6,FALSE)+VLOOKUP(A25,'Dairy State Manure Mgmt'!$B$3:$I$52,8,FALSE)</f>
        <v>28</v>
      </c>
      <c r="P25" s="33">
        <f>+VLOOKUP(A25,'Dairy State Manure Mgmt'!$B$3:$I$52,7,FALSE)</f>
        <v>36</v>
      </c>
      <c r="Q25" s="33">
        <v>0</v>
      </c>
      <c r="R25" s="34">
        <f>VLOOKUP(A25,'Dairy State Manure Mgmt'!$B$3:$I$52,2,FALSE)+VLOOKUP(A25,'Dairy State Manure Mgmt'!$B$3:$I$52,3,FALSE)</f>
        <v>14</v>
      </c>
      <c r="S25" s="34">
        <f t="shared" si="0"/>
        <v>0</v>
      </c>
      <c r="T25" s="34">
        <f t="shared" si="1"/>
        <v>100</v>
      </c>
      <c r="U25" s="144">
        <f>0.662*G25*I25*((J25/100*N25/100)+(K25/100*O25/100)+(L25/100*P25/100)+(M25/100*Q25/100))+(0.045*R25/100)</f>
        <v>155.55731913600002</v>
      </c>
      <c r="V25" s="142">
        <f>(IF(B25="dairy cows",VLOOKUP(A25,'volatile solids and nex'!$B$4:$M$53,7,FALSE)) )</f>
        <v>1255</v>
      </c>
      <c r="W25" s="145">
        <f>IF(B25="dairy cows",VLOOKUP(A25,'volatile solids and nex'!$B$4:$M$54,5,FALSE)*('Dairy Animal Numbers, Mass, Mil'!$K$19/1000) ) * 365</f>
        <v>308.88730695600003</v>
      </c>
      <c r="X25" s="143">
        <f>IF(B25="dairy cows",VLOOKUP(A25,'volatile solids and nex'!$B$4:$P$53,15,FALSE),0)</f>
        <v>69</v>
      </c>
      <c r="Y25" s="33">
        <v>0.17</v>
      </c>
      <c r="Z25" s="34">
        <f>VLOOKUP($A25,'Dairy State Manure Mgmt'!$M$2:$Q$52,3,FALSE)</f>
        <v>91</v>
      </c>
      <c r="AA25" s="34">
        <f>VLOOKUP($A25,'Dairy State Manure Mgmt'!$M$2:$Q$52,4,FALSE)</f>
        <v>0</v>
      </c>
      <c r="AB25" s="34">
        <v>0</v>
      </c>
      <c r="AC25" s="34">
        <v>0</v>
      </c>
      <c r="AD25" s="34">
        <f>VLOOKUP($A25,'Dairy State Manure Mgmt'!$M$2:$Q$52,2,FALSE)+VLOOKUP($A25,'Dairy State Manure Mgmt'!$M$2:$Q$52,5,FALSE)</f>
        <v>9</v>
      </c>
      <c r="AE25" s="146">
        <f t="shared" si="3"/>
        <v>0</v>
      </c>
      <c r="AF25" s="146">
        <f t="shared" si="4"/>
        <v>100</v>
      </c>
      <c r="AG25" s="147">
        <f t="shared" si="5"/>
        <v>1.3450066171000004</v>
      </c>
      <c r="AH25" s="144">
        <f t="shared" si="6"/>
        <v>0.33104021656893939</v>
      </c>
      <c r="AI25" s="34">
        <f t="shared" si="7"/>
        <v>1.292</v>
      </c>
      <c r="AJ25" s="34">
        <f t="shared" si="8"/>
        <v>1.2558</v>
      </c>
      <c r="AK25" s="148">
        <f>(H25 * 0.26 * 0.01 ) +            (H25 * ( ((VLOOKUP(A25,'avg ann temp, manure EFs'!$B$1:$AA$55,22,FALSE)/100*N25/100)+(VLOOKUP(A25,'avg ann temp, manure EFs'!$B$1:$AA$55,23,FALSE)/100*O25/100)+(VLOOKUP(A25,'avg ann temp, manure EFs'!$B$1:$AA$55,19,FALSE)/100*P25/100)+(0.05*R25/100) )  * 0.0075 ))</f>
        <v>0.78319000000000005</v>
      </c>
      <c r="AL25" s="148">
        <f>(X25 * 0.43 * 0.01 ) +            (X25 * ( ((VLOOKUP(A25,'avg ann temp, manure EFs'!$B$1:$AA$55,22,FALSE)/100*Z25/100)+(VLOOKUP(A25,'avg ann temp, manure EFs'!$B$1:$AA$55,23,FALSE)/100*AA25/100)+(VLOOKUP(A25,'avg ann temp, manure EFs'!$B$1:$AA$55,19,FALSE)/100*AB25/100)+(0.05*AD25/100) )  * 0.0075 ))</f>
        <v>0.36966749999999998</v>
      </c>
      <c r="AM25" s="149">
        <f>(('Dairy Manure Inventory'!U25*'Dairy Manure Inventory'!C25)/1000/1000000)*28</f>
        <v>1.8598433075900163</v>
      </c>
      <c r="AN25" s="149">
        <f>(('Dairy Manure Inventory'!AH25*'Dairy Manure Inventory'!D25)/1000/1000000)*28 + (('Dairy Manure Inventory'!AG25*('Dairy Manure Inventory'!E25+'Dairy Manure Inventory'!F25) )/1000/1000000)*28</f>
        <v>8.5636889133609978E-3</v>
      </c>
      <c r="AO25" s="149">
        <f>(( ('Dairy Manure Inventory'!AI25+'Dairy Manure Inventory'!AK25) * 'Dairy Manure Inventory'!C25)/1000/1000000)*265</f>
        <v>0.23481812445</v>
      </c>
      <c r="AP25" s="150">
        <f>(( ('Dairy Manure Inventory'!AJ25+'Dairy Manure Inventory'!AL25) * ('Dairy Manure Inventory'!D25+'Dairy Manure Inventory'!E25+'Dairy Manure Inventory'!F25) /1000/1000000)*265)</f>
        <v>0.169715061675</v>
      </c>
      <c r="AQ25" s="43">
        <f t="shared" si="9"/>
        <v>2.272940182628377</v>
      </c>
    </row>
    <row r="26" spans="1:43" ht="15.75" customHeight="1">
      <c r="A26" s="109" t="s">
        <v>59</v>
      </c>
      <c r="B26" s="33" t="s">
        <v>147</v>
      </c>
      <c r="C26" s="131">
        <f>VLOOKUP(A26,'Dairy Animal Numbers, Mass, Mil'!$B$4:$H$51,2,FALSE)</f>
        <v>77000</v>
      </c>
      <c r="D26" s="125">
        <f>VLOOKUP($A26,'Dairy Animal Numbers, Mass, Mil'!$B$4:$F$52,3,FALSE)</f>
        <v>40000</v>
      </c>
      <c r="E26" s="125">
        <f>VLOOKUP($A26,'Dairy Animal Numbers, Mass, Mil'!$B$4:$F$52,4,FALSE)</f>
        <v>10000</v>
      </c>
      <c r="F26" s="125">
        <f>VLOOKUP($A26,'Dairy Animal Numbers, Mass, Mil'!$B$4:$F$52,5,FALSE)</f>
        <v>24000</v>
      </c>
      <c r="G26" s="142">
        <f>IF(B26="dairy cows",VLOOKUP(A26,'volatile solids and nex'!$B$4:$P$53,6,FALSE),0)</f>
        <v>2159</v>
      </c>
      <c r="H26" s="143">
        <f>IF(B26="dairy cows",VLOOKUP(A26,'volatile solids and nex'!$B$4:$P$53,14,FALSE),0)</f>
        <v>129</v>
      </c>
      <c r="I26" s="120">
        <v>0.24</v>
      </c>
      <c r="J26" s="33">
        <f>VLOOKUP(A26,'avg ann temp, manure EFs'!$B$3:$J$52,6,FALSE)</f>
        <v>1</v>
      </c>
      <c r="K26" s="33">
        <f>VLOOKUP(A26,'avg ann temp, manure EFs'!$B$3:$J$52,5,FALSE)</f>
        <v>32</v>
      </c>
      <c r="L26" s="33">
        <f>VLOOKUP(A26,'avg ann temp, manure EFs'!$B$3:$J$52,4,FALSE)</f>
        <v>74</v>
      </c>
      <c r="M26" s="33">
        <f>VLOOKUP(A26,'avg ann temp, manure EFs'!$B$3:$J$52,9,FALSE)</f>
        <v>50</v>
      </c>
      <c r="N26" s="33">
        <f>VLOOKUP(A26,'Dairy State Manure Mgmt'!$B$3:$I$52,4,FALSE)+VLOOKUP(A26,'Dairy State Manure Mgmt'!$B$3:$I$52,5,FALSE)</f>
        <v>25</v>
      </c>
      <c r="O26" s="33">
        <f>+VLOOKUP(A26,'Dairy State Manure Mgmt'!$B$3:$I$52,6,FALSE)+VLOOKUP(A26,'Dairy State Manure Mgmt'!$B$3:$I$52,8,FALSE)</f>
        <v>19</v>
      </c>
      <c r="P26" s="33">
        <f>+VLOOKUP(A26,'Dairy State Manure Mgmt'!$B$3:$I$52,7,FALSE)</f>
        <v>26</v>
      </c>
      <c r="Q26" s="33">
        <v>0</v>
      </c>
      <c r="R26" s="34">
        <f>VLOOKUP(A26,'Dairy State Manure Mgmt'!$B$3:$I$52,2,FALSE)+VLOOKUP(A26,'Dairy State Manure Mgmt'!$B$3:$I$52,3,FALSE)</f>
        <v>29</v>
      </c>
      <c r="S26" s="34">
        <f t="shared" si="0"/>
        <v>1</v>
      </c>
      <c r="T26" s="34">
        <f t="shared" si="1"/>
        <v>99</v>
      </c>
      <c r="U26" s="144">
        <f t="shared" ref="U26:U48" si="10">0.662*G26*I26*((J26/100*N26/100)+(K26/100*O26/100)+(L26/100*P26/100)+(M26/100*Q26/100))+(0.0047*R26/100)</f>
        <v>87.712067943999998</v>
      </c>
      <c r="V26" s="142">
        <f>(IF(B26="dairy cows",VLOOKUP(A26,'volatile solids and nex'!$B$4:$M$53,7,FALSE)) )</f>
        <v>1255</v>
      </c>
      <c r="W26" s="145">
        <f>IF(B26="dairy cows",VLOOKUP(A26,'volatile solids and nex'!$B$4:$M$54,5,FALSE)*('Dairy Animal Numbers, Mass, Mil'!$K$19/1000) ) * 365</f>
        <v>308.88730695600003</v>
      </c>
      <c r="X26" s="143">
        <f>IF(B26="dairy cows",VLOOKUP(A26,'volatile solids and nex'!$B$4:$P$53,15,FALSE),0)</f>
        <v>69</v>
      </c>
      <c r="Y26" s="33">
        <v>0.17</v>
      </c>
      <c r="Z26" s="34">
        <f>VLOOKUP($A26,'Dairy State Manure Mgmt'!$M$2:$Q$52,3,FALSE)</f>
        <v>77</v>
      </c>
      <c r="AA26" s="34">
        <f>VLOOKUP($A26,'Dairy State Manure Mgmt'!$M$2:$Q$52,4,FALSE)</f>
        <v>0</v>
      </c>
      <c r="AB26" s="34">
        <v>0</v>
      </c>
      <c r="AC26" s="34">
        <v>0</v>
      </c>
      <c r="AD26" s="34">
        <f>VLOOKUP($A26,'Dairy State Manure Mgmt'!$M$2:$Q$52,2,FALSE)+VLOOKUP($A26,'Dairy State Manure Mgmt'!$M$2:$Q$52,5,FALSE)</f>
        <v>22</v>
      </c>
      <c r="AE26" s="146">
        <f t="shared" si="3"/>
        <v>1</v>
      </c>
      <c r="AF26" s="146">
        <f t="shared" si="4"/>
        <v>99</v>
      </c>
      <c r="AG26" s="147">
        <f t="shared" si="5"/>
        <v>1.2335700718000002</v>
      </c>
      <c r="AH26" s="144">
        <f t="shared" si="6"/>
        <v>0.30361285850184994</v>
      </c>
      <c r="AI26" s="34">
        <f t="shared" si="7"/>
        <v>0.93525000000000003</v>
      </c>
      <c r="AJ26" s="34">
        <f t="shared" si="8"/>
        <v>1.0626</v>
      </c>
      <c r="AK26" s="148">
        <f>(H26 * 0.26 * 0.01 ) +            (H26 * ( ((VLOOKUP(A26,'avg ann temp, manure EFs'!$B$1:$AA$55,22,FALSE)/100*N26/100)+(VLOOKUP(A26,'avg ann temp, manure EFs'!$B$1:$AA$55,23,FALSE)/100*O26/100)+(VLOOKUP(A26,'avg ann temp, manure EFs'!$B$1:$AA$55,19,FALSE)/100*P26/100)+(0.05*R26/100) )  * 0.0075 ))</f>
        <v>0.54167100000000001</v>
      </c>
      <c r="AL26" s="148">
        <f>(X26 * 0.43 * 0.01 ) +            (X26 * ( ((VLOOKUP(A26,'avg ann temp, manure EFs'!$B$1:$AA$55,22,FALSE)/100*Z26/100)+(VLOOKUP(A26,'avg ann temp, manure EFs'!$B$1:$AA$55,23,FALSE)/100*AA26/100)+(VLOOKUP(A26,'avg ann temp, manure EFs'!$B$1:$AA$55,19,FALSE)/100*AB26/100)+(0.05*AD26/100) )  * 0.0075 ))</f>
        <v>0.36216374999999995</v>
      </c>
      <c r="AM26" s="149">
        <f>(('Dairy Manure Inventory'!U26*'Dairy Manure Inventory'!C26)/1000/1000000)*28</f>
        <v>0.18910721848726403</v>
      </c>
      <c r="AN26" s="149">
        <f>(('Dairy Manure Inventory'!AH26*'Dairy Manure Inventory'!D26)/1000/1000000)*28 + (('Dairy Manure Inventory'!AG26*('Dairy Manure Inventory'!E26+'Dairy Manure Inventory'!F26) )/1000/1000000)*28</f>
        <v>1.5144051098756723E-3</v>
      </c>
      <c r="AO26" s="149">
        <f>(( ('Dairy Manure Inventory'!AI26+'Dairy Manure Inventory'!AK26) * 'Dairy Manure Inventory'!C26)/1000/1000000)*265</f>
        <v>3.0136573005E-2</v>
      </c>
      <c r="AP26" s="150">
        <f>(( ('Dairy Manure Inventory'!AJ26+'Dairy Manure Inventory'!AL26) * ('Dairy Manure Inventory'!D26+'Dairy Manure Inventory'!E26+'Dairy Manure Inventory'!F26) /1000/1000000)*265)</f>
        <v>2.7939617137499997E-2</v>
      </c>
      <c r="AQ26" s="43">
        <f t="shared" si="9"/>
        <v>0.24869781373963967</v>
      </c>
    </row>
    <row r="27" spans="1:43" ht="15.75" customHeight="1">
      <c r="A27" s="109" t="s">
        <v>60</v>
      </c>
      <c r="B27" s="33" t="s">
        <v>147</v>
      </c>
      <c r="C27" s="131">
        <f>VLOOKUP(A27,'Dairy Animal Numbers, Mass, Mil'!$B$4:$H$51,2,FALSE)</f>
        <v>8000</v>
      </c>
      <c r="D27" s="125">
        <f>VLOOKUP($A27,'Dairy Animal Numbers, Mass, Mil'!$B$4:$F$52,3,FALSE)</f>
        <v>4000</v>
      </c>
      <c r="E27" s="125">
        <f>VLOOKUP($A27,'Dairy Animal Numbers, Mass, Mil'!$B$4:$F$52,4,FALSE)</f>
        <v>1000</v>
      </c>
      <c r="F27" s="125">
        <f>VLOOKUP($A27,'Dairy Animal Numbers, Mass, Mil'!$B$4:$F$52,5,FALSE)</f>
        <v>3000</v>
      </c>
      <c r="G27" s="142">
        <f>IF(B27="dairy cows",VLOOKUP(A27,'volatile solids and nex'!$B$4:$P$53,6,FALSE),0)</f>
        <v>2369</v>
      </c>
      <c r="H27" s="143">
        <f>IF(B27="dairy cows",VLOOKUP(A27,'volatile solids and nex'!$B$4:$P$53,14,FALSE),0)</f>
        <v>140</v>
      </c>
      <c r="I27" s="120">
        <v>0.24</v>
      </c>
      <c r="J27" s="33">
        <f>VLOOKUP(A27,'avg ann temp, manure EFs'!$B$3:$J$52,6,FALSE)</f>
        <v>1.5</v>
      </c>
      <c r="K27" s="33">
        <f>VLOOKUP(A27,'avg ann temp, manure EFs'!$B$3:$J$52,5,FALSE)</f>
        <v>44</v>
      </c>
      <c r="L27" s="33">
        <f>VLOOKUP(A27,'avg ann temp, manure EFs'!$B$3:$J$52,4,FALSE)</f>
        <v>77</v>
      </c>
      <c r="M27" s="33">
        <f>VLOOKUP(A27,'avg ann temp, manure EFs'!$B$3:$J$52,9,FALSE)</f>
        <v>50</v>
      </c>
      <c r="N27" s="33">
        <f>VLOOKUP(A27,'Dairy State Manure Mgmt'!$B$3:$I$52,4,FALSE)+VLOOKUP(A27,'Dairy State Manure Mgmt'!$B$3:$I$52,5,FALSE)</f>
        <v>14</v>
      </c>
      <c r="O27" s="33">
        <f>+VLOOKUP(A27,'Dairy State Manure Mgmt'!$B$3:$I$52,6,FALSE)+VLOOKUP(A27,'Dairy State Manure Mgmt'!$B$3:$I$52,8,FALSE)</f>
        <v>13</v>
      </c>
      <c r="P27" s="33">
        <f>+VLOOKUP(A27,'Dairy State Manure Mgmt'!$B$3:$I$52,7,FALSE)</f>
        <v>23</v>
      </c>
      <c r="Q27" s="33">
        <v>0</v>
      </c>
      <c r="R27" s="34">
        <f>VLOOKUP(A27,'Dairy State Manure Mgmt'!$B$3:$I$52,2,FALSE)+VLOOKUP(A27,'Dairy State Manure Mgmt'!$B$3:$I$52,3,FALSE)</f>
        <v>50</v>
      </c>
      <c r="S27" s="34">
        <f t="shared" si="0"/>
        <v>0</v>
      </c>
      <c r="T27" s="34">
        <f t="shared" si="1"/>
        <v>100</v>
      </c>
      <c r="U27" s="144">
        <f t="shared" si="10"/>
        <v>88.980170607999995</v>
      </c>
      <c r="V27" s="142">
        <f>(IF(B27="dairy cows",VLOOKUP(A27,'volatile solids and nex'!$B$4:$M$53,7,FALSE)) )</f>
        <v>1255</v>
      </c>
      <c r="W27" s="145">
        <f>IF(B27="dairy cows",VLOOKUP(A27,'volatile solids and nex'!$B$4:$M$54,5,FALSE)*('Dairy Animal Numbers, Mass, Mil'!$K$19/1000) ) * 365</f>
        <v>313.80447103200004</v>
      </c>
      <c r="X27" s="143">
        <f>IF(B27="dairy cows",VLOOKUP(A27,'volatile solids and nex'!$B$4:$P$53,15,FALSE),0)</f>
        <v>69</v>
      </c>
      <c r="Y27" s="33">
        <v>0.17</v>
      </c>
      <c r="Z27" s="34">
        <f>VLOOKUP($A27,'Dairy State Manure Mgmt'!$M$2:$Q$52,3,FALSE)</f>
        <v>28</v>
      </c>
      <c r="AA27" s="34">
        <f>VLOOKUP($A27,'Dairy State Manure Mgmt'!$M$2:$Q$52,4,FALSE)</f>
        <v>0</v>
      </c>
      <c r="AB27" s="34">
        <v>0</v>
      </c>
      <c r="AC27" s="34">
        <v>0</v>
      </c>
      <c r="AD27" s="34">
        <f>VLOOKUP($A27,'Dairy State Manure Mgmt'!$M$2:$Q$52,2,FALSE)+VLOOKUP($A27,'Dairy State Manure Mgmt'!$M$2:$Q$52,5,FALSE)</f>
        <v>72</v>
      </c>
      <c r="AE27" s="146">
        <f t="shared" si="3"/>
        <v>0</v>
      </c>
      <c r="AF27" s="146">
        <f t="shared" si="4"/>
        <v>100</v>
      </c>
      <c r="AG27" s="147">
        <f t="shared" si="5"/>
        <v>1.0711467168000002</v>
      </c>
      <c r="AH27" s="144">
        <f t="shared" si="6"/>
        <v>0.26783317040883475</v>
      </c>
      <c r="AI27" s="34">
        <f t="shared" si="7"/>
        <v>0.64400000000000002</v>
      </c>
      <c r="AJ27" s="34">
        <f t="shared" si="8"/>
        <v>0.38640000000000008</v>
      </c>
      <c r="AK27" s="148">
        <f>(H27 * 0.26 * 0.01 ) +            (H27 * ( ((VLOOKUP(A27,'avg ann temp, manure EFs'!$B$1:$AA$55,22,FALSE)/100*N27/100)+(VLOOKUP(A27,'avg ann temp, manure EFs'!$B$1:$AA$55,23,FALSE)/100*O27/100)+(VLOOKUP(A27,'avg ann temp, manure EFs'!$B$1:$AA$55,19,FALSE)/100*P27/100)+(0.05*R27/100) )  * 0.0075 ))</f>
        <v>0.55163499999999999</v>
      </c>
      <c r="AL27" s="148">
        <f>(X27 * 0.43 * 0.01 ) +            (X27 * ( ((VLOOKUP(A27,'avg ann temp, manure EFs'!$B$1:$AA$55,22,FALSE)/100*Z27/100)+(VLOOKUP(A27,'avg ann temp, manure EFs'!$B$1:$AA$55,23,FALSE)/100*AA27/100)+(VLOOKUP(A27,'avg ann temp, manure EFs'!$B$1:$AA$55,19,FALSE)/100*AB27/100)+(0.05*AD27/100) )  * 0.0075 ))</f>
        <v>0.33706499999999995</v>
      </c>
      <c r="AM27" s="149">
        <f>(('Dairy Manure Inventory'!U27*'Dairy Manure Inventory'!C27)/1000/1000000)*28</f>
        <v>1.9931558216192E-2</v>
      </c>
      <c r="AN27" s="149">
        <f>(('Dairy Manure Inventory'!AH27*'Dairy Manure Inventory'!D27)/1000/1000000)*28 + (('Dairy Manure Inventory'!AG27*('Dairy Manure Inventory'!E27+'Dairy Manure Inventory'!F27) )/1000/1000000)*28</f>
        <v>1.4996574736738952E-4</v>
      </c>
      <c r="AO27" s="149">
        <f>(( ('Dairy Manure Inventory'!AI27+'Dairy Manure Inventory'!AK27) * 'Dairy Manure Inventory'!C27)/1000/1000000)*265</f>
        <v>2.5347461999999997E-3</v>
      </c>
      <c r="AP27" s="150">
        <f>(( ('Dairy Manure Inventory'!AJ27+'Dairy Manure Inventory'!AL27) * ('Dairy Manure Inventory'!D27+'Dairy Manure Inventory'!E27+'Dairy Manure Inventory'!F27) /1000/1000000)*265)</f>
        <v>1.5337458E-3</v>
      </c>
      <c r="AQ27" s="43">
        <f t="shared" si="9"/>
        <v>2.4150015963559389E-2</v>
      </c>
    </row>
    <row r="28" spans="1:43" ht="15.75" customHeight="1">
      <c r="A28" s="109" t="s">
        <v>61</v>
      </c>
      <c r="B28" s="33" t="s">
        <v>147</v>
      </c>
      <c r="C28" s="131">
        <f>VLOOKUP(A28,'Dairy Animal Numbers, Mass, Mil'!$B$4:$H$51,2,FALSE)</f>
        <v>12000</v>
      </c>
      <c r="D28" s="125">
        <f>VLOOKUP($A28,'Dairy Animal Numbers, Mass, Mil'!$B$4:$F$52,3,FALSE)</f>
        <v>6000</v>
      </c>
      <c r="E28" s="125">
        <f>VLOOKUP($A28,'Dairy Animal Numbers, Mass, Mil'!$B$4:$F$52,4,FALSE)</f>
        <v>1000</v>
      </c>
      <c r="F28" s="125">
        <f>VLOOKUP($A28,'Dairy Animal Numbers, Mass, Mil'!$B$4:$F$52,5,FALSE)</f>
        <v>3000</v>
      </c>
      <c r="G28" s="142">
        <f>IF(B28="dairy cows",VLOOKUP(A28,'volatile solids and nex'!$B$4:$P$53,6,FALSE),0)</f>
        <v>2670</v>
      </c>
      <c r="H28" s="143">
        <f>IF(B28="dairy cows",VLOOKUP(A28,'volatile solids and nex'!$B$4:$P$53,14,FALSE),0)</f>
        <v>151</v>
      </c>
      <c r="I28" s="120">
        <v>0.24</v>
      </c>
      <c r="J28" s="33">
        <f>VLOOKUP(A28,'avg ann temp, manure EFs'!$B$3:$J$52,6,FALSE)</f>
        <v>1</v>
      </c>
      <c r="K28" s="33">
        <f>VLOOKUP(A28,'avg ann temp, manure EFs'!$B$3:$J$52,5,FALSE)</f>
        <v>19</v>
      </c>
      <c r="L28" s="33">
        <f>VLOOKUP(A28,'avg ann temp, manure EFs'!$B$3:$J$52,4,FALSE)</f>
        <v>60</v>
      </c>
      <c r="M28" s="33">
        <f>VLOOKUP(A28,'avg ann temp, manure EFs'!$B$3:$J$52,9,FALSE)</f>
        <v>50</v>
      </c>
      <c r="N28" s="33">
        <f>VLOOKUP(A28,'Dairy State Manure Mgmt'!$B$3:$I$52,4,FALSE)+VLOOKUP(A28,'Dairy State Manure Mgmt'!$B$3:$I$52,5,FALSE)</f>
        <v>21</v>
      </c>
      <c r="O28" s="33">
        <f>+VLOOKUP(A28,'Dairy State Manure Mgmt'!$B$3:$I$52,6,FALSE)+VLOOKUP(A28,'Dairy State Manure Mgmt'!$B$3:$I$52,8,FALSE)</f>
        <v>22</v>
      </c>
      <c r="P28" s="33">
        <f>+VLOOKUP(A28,'Dairy State Manure Mgmt'!$B$3:$I$52,7,FALSE)</f>
        <v>38</v>
      </c>
      <c r="Q28" s="33">
        <v>0</v>
      </c>
      <c r="R28" s="34">
        <f>VLOOKUP(A28,'Dairy State Manure Mgmt'!$B$3:$I$52,2,FALSE)+VLOOKUP(A28,'Dairy State Manure Mgmt'!$B$3:$I$52,3,FALSE)</f>
        <v>19</v>
      </c>
      <c r="S28" s="34">
        <f t="shared" si="0"/>
        <v>0</v>
      </c>
      <c r="T28" s="34">
        <f t="shared" si="1"/>
        <v>100</v>
      </c>
      <c r="U28" s="144">
        <f t="shared" si="10"/>
        <v>115.34348324000003</v>
      </c>
      <c r="V28" s="142">
        <f>(IF(B28="dairy cows",VLOOKUP(A28,'volatile solids and nex'!$B$4:$M$53,7,FALSE)) )</f>
        <v>1255</v>
      </c>
      <c r="W28" s="145">
        <f>IF(B28="dairy cows",VLOOKUP(A28,'volatile solids and nex'!$B$4:$M$54,5,FALSE)*('Dairy Animal Numbers, Mass, Mil'!$K$19/1000) ) * 365</f>
        <v>288.77163573600001</v>
      </c>
      <c r="X28" s="143">
        <f>IF(B28="dairy cows",VLOOKUP(A28,'volatile solids and nex'!$B$4:$P$53,15,FALSE),0)</f>
        <v>69</v>
      </c>
      <c r="Y28" s="33">
        <v>0.17</v>
      </c>
      <c r="Z28" s="34">
        <f>VLOOKUP($A28,'Dairy State Manure Mgmt'!$M$2:$Q$52,3,FALSE)</f>
        <v>93</v>
      </c>
      <c r="AA28" s="34">
        <f>VLOOKUP($A28,'Dairy State Manure Mgmt'!$M$2:$Q$52,4,FALSE)</f>
        <v>0</v>
      </c>
      <c r="AB28" s="34">
        <v>0</v>
      </c>
      <c r="AC28" s="34">
        <v>0</v>
      </c>
      <c r="AD28" s="34">
        <f>VLOOKUP($A28,'Dairy State Manure Mgmt'!$M$2:$Q$52,2,FALSE)+VLOOKUP($A28,'Dairy State Manure Mgmt'!$M$2:$Q$52,5,FALSE)</f>
        <v>7</v>
      </c>
      <c r="AE28" s="146">
        <f t="shared" si="3"/>
        <v>0</v>
      </c>
      <c r="AF28" s="146">
        <f t="shared" si="4"/>
        <v>100</v>
      </c>
      <c r="AG28" s="147">
        <f t="shared" si="5"/>
        <v>1.3599778133000002</v>
      </c>
      <c r="AH28" s="144">
        <f t="shared" si="6"/>
        <v>0.31292670733968886</v>
      </c>
      <c r="AI28" s="34">
        <f t="shared" si="7"/>
        <v>1.0871999999999999</v>
      </c>
      <c r="AJ28" s="34">
        <f t="shared" si="8"/>
        <v>1.2834000000000001</v>
      </c>
      <c r="AK28" s="148">
        <f>(H28 * 0.26 * 0.01 ) +            (H28 * ( ((VLOOKUP(A28,'avg ann temp, manure EFs'!$B$1:$AA$55,22,FALSE)/100*N28/100)+(VLOOKUP(A28,'avg ann temp, manure EFs'!$B$1:$AA$55,23,FALSE)/100*O28/100)+(VLOOKUP(A28,'avg ann temp, manure EFs'!$B$1:$AA$55,19,FALSE)/100*P28/100)+(0.05*R28/100) )  * 0.0075 ))</f>
        <v>0.68886199999999997</v>
      </c>
      <c r="AL28" s="148">
        <f>(X28 * 0.43 * 0.01 ) +            (X28 * ( ((VLOOKUP(A28,'avg ann temp, manure EFs'!$B$1:$AA$55,22,FALSE)/100*Z28/100)+(VLOOKUP(A28,'avg ann temp, manure EFs'!$B$1:$AA$55,23,FALSE)/100*AA28/100)+(VLOOKUP(A28,'avg ann temp, manure EFs'!$B$1:$AA$55,19,FALSE)/100*AB28/100)+(0.05*AD28/100) )  * 0.0075 ))</f>
        <v>0.37070249999999993</v>
      </c>
      <c r="AM28" s="149">
        <f>(('Dairy Manure Inventory'!U28*'Dairy Manure Inventory'!C28)/1000/1000000)*28</f>
        <v>3.8755410368640011E-2</v>
      </c>
      <c r="AN28" s="149">
        <f>(('Dairy Manure Inventory'!AH28*'Dairy Manure Inventory'!D28)/1000/1000000)*28 + (('Dairy Manure Inventory'!AG28*('Dairy Manure Inventory'!E28+'Dairy Manure Inventory'!F28) )/1000/1000000)*28</f>
        <v>2.0488920192266775E-4</v>
      </c>
      <c r="AO28" s="149">
        <f>(( ('Dairy Manure Inventory'!AI28+'Dairy Manure Inventory'!AK28) * 'Dairy Manure Inventory'!C28)/1000/1000000)*265</f>
        <v>5.6478771599999993E-3</v>
      </c>
      <c r="AP28" s="150">
        <f>(( ('Dairy Manure Inventory'!AJ28+'Dairy Manure Inventory'!AL28) * ('Dairy Manure Inventory'!D28+'Dairy Manure Inventory'!E28+'Dairy Manure Inventory'!F28) /1000/1000000)*265)</f>
        <v>4.3833716250000002E-3</v>
      </c>
      <c r="AQ28" s="43">
        <f t="shared" si="9"/>
        <v>4.8991548355562679E-2</v>
      </c>
    </row>
    <row r="29" spans="1:43" ht="15.75" customHeight="1">
      <c r="A29" s="110" t="s">
        <v>62</v>
      </c>
      <c r="B29" s="45" t="s">
        <v>147</v>
      </c>
      <c r="C29" s="131">
        <f>VLOOKUP(A29,'Dairy Animal Numbers, Mass, Mil'!$B$4:$H$51,2,FALSE)</f>
        <v>41000</v>
      </c>
      <c r="D29" s="125">
        <f>VLOOKUP($A29,'Dairy Animal Numbers, Mass, Mil'!$B$4:$F$52,3,FALSE)</f>
        <v>21000</v>
      </c>
      <c r="E29" s="125">
        <f>VLOOKUP($A29,'Dairy Animal Numbers, Mass, Mil'!$B$4:$F$52,4,FALSE)</f>
        <v>5000</v>
      </c>
      <c r="F29" s="125">
        <f>VLOOKUP($A29,'Dairy Animal Numbers, Mass, Mil'!$B$4:$F$52,5,FALSE)</f>
        <v>13000</v>
      </c>
      <c r="G29" s="142">
        <f>IF(B29="dairy cows",VLOOKUP(A29,'volatile solids and nex'!$B$4:$P$53,6,FALSE),0)</f>
        <v>2774</v>
      </c>
      <c r="H29" s="143">
        <f>IF(B29="dairy cows",VLOOKUP(A29,'volatile solids and nex'!$B$4:$P$53,14,FALSE),0)</f>
        <v>158</v>
      </c>
      <c r="I29" s="120">
        <v>0.24</v>
      </c>
      <c r="J29" s="33">
        <f>VLOOKUP(A29,'avg ann temp, manure EFs'!$B$3:$J$52,6,FALSE)</f>
        <v>1.5</v>
      </c>
      <c r="K29" s="33">
        <f>VLOOKUP(A29,'avg ann temp, manure EFs'!$B$3:$J$52,5,FALSE)</f>
        <v>34</v>
      </c>
      <c r="L29" s="33">
        <f>VLOOKUP(A29,'avg ann temp, manure EFs'!$B$3:$J$52,4,FALSE)</f>
        <v>74</v>
      </c>
      <c r="M29" s="33">
        <f>VLOOKUP(A29,'avg ann temp, manure EFs'!$B$3:$J$52,9,FALSE)</f>
        <v>50</v>
      </c>
      <c r="N29" s="33">
        <f>VLOOKUP(A29,'Dairy State Manure Mgmt'!$B$3:$I$52,4,FALSE)+VLOOKUP(A29,'Dairy State Manure Mgmt'!$B$3:$I$52,5,FALSE)</f>
        <v>10</v>
      </c>
      <c r="O29" s="33">
        <f>+VLOOKUP(A29,'Dairy State Manure Mgmt'!$B$3:$I$52,6,FALSE)+VLOOKUP(A29,'Dairy State Manure Mgmt'!$B$3:$I$52,8,FALSE)</f>
        <v>11</v>
      </c>
      <c r="P29" s="33">
        <f>+VLOOKUP(A29,'Dairy State Manure Mgmt'!$B$3:$I$52,7,FALSE)</f>
        <v>31</v>
      </c>
      <c r="Q29" s="33">
        <v>0</v>
      </c>
      <c r="R29" s="34">
        <f>VLOOKUP(A29,'Dairy State Manure Mgmt'!$B$3:$I$52,2,FALSE)+VLOOKUP(A29,'Dairy State Manure Mgmt'!$B$3:$I$52,3,FALSE)</f>
        <v>48</v>
      </c>
      <c r="S29" s="34">
        <f t="shared" si="0"/>
        <v>0</v>
      </c>
      <c r="T29" s="34">
        <f t="shared" si="1"/>
        <v>100</v>
      </c>
      <c r="U29" s="144">
        <f t="shared" si="10"/>
        <v>118.25095209600003</v>
      </c>
      <c r="V29" s="142">
        <f>(IF(B29="dairy cows",VLOOKUP(A29,'volatile solids and nex'!$B$4:$M$53,7,FALSE)) )</f>
        <v>1255</v>
      </c>
      <c r="W29" s="145">
        <f>IF(B29="dairy cows",VLOOKUP(A29,'volatile solids and nex'!$B$4:$M$54,5,FALSE)*('Dairy Animal Numbers, Mass, Mil'!$K$19/1000) ) * 365</f>
        <v>313.80447103200004</v>
      </c>
      <c r="X29" s="143">
        <f>IF(B29="dairy cows",VLOOKUP(A29,'volatile solids and nex'!$B$4:$P$53,15,FALSE),0)</f>
        <v>69</v>
      </c>
      <c r="Y29" s="33">
        <v>0.17</v>
      </c>
      <c r="Z29" s="34">
        <f>VLOOKUP($A29,'Dairy State Manure Mgmt'!$M$2:$Q$52,3,FALSE)</f>
        <v>31</v>
      </c>
      <c r="AA29" s="34">
        <f>VLOOKUP($A29,'Dairy State Manure Mgmt'!$M$2:$Q$52,4,FALSE)</f>
        <v>0</v>
      </c>
      <c r="AB29" s="34">
        <v>0</v>
      </c>
      <c r="AC29" s="34">
        <v>0</v>
      </c>
      <c r="AD29" s="34">
        <f>VLOOKUP($A29,'Dairy State Manure Mgmt'!$M$2:$Q$52,2,FALSE)+VLOOKUP($A29,'Dairy State Manure Mgmt'!$M$2:$Q$52,5,FALSE)</f>
        <v>69</v>
      </c>
      <c r="AE29" s="146">
        <f t="shared" si="3"/>
        <v>0</v>
      </c>
      <c r="AF29" s="146">
        <f t="shared" si="4"/>
        <v>100</v>
      </c>
      <c r="AG29" s="147">
        <f t="shared" si="5"/>
        <v>1.1147891661</v>
      </c>
      <c r="AH29" s="144">
        <f t="shared" si="6"/>
        <v>0.27874567695634661</v>
      </c>
      <c r="AI29" s="34">
        <f t="shared" si="7"/>
        <v>0.64780000000000004</v>
      </c>
      <c r="AJ29" s="34">
        <f t="shared" si="8"/>
        <v>0.42779999999999996</v>
      </c>
      <c r="AK29" s="148">
        <f>(H29 * 0.26 * 0.01 ) +            (H29 * ( ((VLOOKUP(A29,'avg ann temp, manure EFs'!$B$1:$AA$55,22,FALSE)/100*N29/100)+(VLOOKUP(A29,'avg ann temp, manure EFs'!$B$1:$AA$55,23,FALSE)/100*O29/100)+(VLOOKUP(A29,'avg ann temp, manure EFs'!$B$1:$AA$55,19,FALSE)/100*P29/100)+(0.05*R29/100) )  * 0.0075 ))</f>
        <v>0.64886650000000001</v>
      </c>
      <c r="AL29" s="148">
        <f>(X29 * 0.43 * 0.01 ) +            (X29 * ( ((VLOOKUP(A29,'avg ann temp, manure EFs'!$B$1:$AA$55,22,FALSE)/100*Z29/100)+(VLOOKUP(A29,'avg ann temp, manure EFs'!$B$1:$AA$55,23,FALSE)/100*AA29/100)+(VLOOKUP(A29,'avg ann temp, manure EFs'!$B$1:$AA$55,19,FALSE)/100*AB29/100)+(0.05*AD29/100) )  * 0.0075 ))</f>
        <v>0.33861749999999996</v>
      </c>
      <c r="AM29" s="149">
        <f>(('Dairy Manure Inventory'!U29*'Dairy Manure Inventory'!C29)/1000/1000000)*28</f>
        <v>0.13575209300620805</v>
      </c>
      <c r="AN29" s="149">
        <f>(('Dairy Manure Inventory'!AH29*'Dairy Manure Inventory'!D29)/1000/1000000)*28 + (('Dairy Manure Inventory'!AG29*('Dairy Manure Inventory'!E29+'Dairy Manure Inventory'!F29) )/1000/1000000)*28</f>
        <v>7.2575619776473182E-4</v>
      </c>
      <c r="AO29" s="149">
        <f>(( ('Dairy Manure Inventory'!AI29+'Dairy Manure Inventory'!AK29) * 'Dairy Manure Inventory'!C29)/1000/1000000)*265</f>
        <v>1.4088281522500003E-2</v>
      </c>
      <c r="AP29" s="150">
        <f>(( ('Dairy Manure Inventory'!AJ29+'Dairy Manure Inventory'!AL29) * ('Dairy Manure Inventory'!D29+'Dairy Manure Inventory'!E29+'Dairy Manure Inventory'!F29) /1000/1000000)*265)</f>
        <v>7.9209248624999996E-3</v>
      </c>
      <c r="AQ29" s="43">
        <f t="shared" si="9"/>
        <v>0.1584870555889728</v>
      </c>
    </row>
    <row r="30" spans="1:43" ht="15.75" customHeight="1">
      <c r="A30" s="110" t="s">
        <v>63</v>
      </c>
      <c r="B30" s="45" t="s">
        <v>147</v>
      </c>
      <c r="C30" s="131">
        <f>VLOOKUP(A30,'Dairy Animal Numbers, Mass, Mil'!$B$4:$H$51,2,FALSE)</f>
        <v>15000</v>
      </c>
      <c r="D30" s="125">
        <f>VLOOKUP($A30,'Dairy Animal Numbers, Mass, Mil'!$B$4:$F$52,3,FALSE)</f>
        <v>8000</v>
      </c>
      <c r="E30" s="125">
        <f>VLOOKUP($A30,'Dairy Animal Numbers, Mass, Mil'!$B$4:$F$52,4,FALSE)</f>
        <v>2000</v>
      </c>
      <c r="F30" s="125">
        <f>VLOOKUP($A30,'Dairy Animal Numbers, Mass, Mil'!$B$4:$F$52,5,FALSE)</f>
        <v>6000</v>
      </c>
      <c r="G30" s="142">
        <f>IF(B30="dairy cows",VLOOKUP(A30,'volatile solids and nex'!$B$4:$P$53,6,FALSE),0)</f>
        <v>2722</v>
      </c>
      <c r="H30" s="143">
        <f>IF(B30="dairy cows",VLOOKUP(A30,'volatile solids and nex'!$B$4:$P$53,14,FALSE),0)</f>
        <v>153</v>
      </c>
      <c r="I30" s="120">
        <v>0.24</v>
      </c>
      <c r="J30" s="33">
        <f>VLOOKUP(A30,'avg ann temp, manure EFs'!$B$3:$J$52,6,FALSE)</f>
        <v>1</v>
      </c>
      <c r="K30" s="33">
        <f>VLOOKUP(A30,'avg ann temp, manure EFs'!$B$3:$J$52,5,FALSE)</f>
        <v>23</v>
      </c>
      <c r="L30" s="33">
        <f>VLOOKUP(A30,'avg ann temp, manure EFs'!$B$3:$J$52,4,FALSE)</f>
        <v>66</v>
      </c>
      <c r="M30" s="33">
        <f>VLOOKUP(A30,'avg ann temp, manure EFs'!$B$3:$J$52,9,FALSE)</f>
        <v>50</v>
      </c>
      <c r="N30" s="33">
        <f>VLOOKUP(A30,'Dairy State Manure Mgmt'!$B$3:$I$52,4,FALSE)+VLOOKUP(A30,'Dairy State Manure Mgmt'!$B$3:$I$52,5,FALSE)</f>
        <v>19</v>
      </c>
      <c r="O30" s="33">
        <f>+VLOOKUP(A30,'Dairy State Manure Mgmt'!$B$3:$I$52,6,FALSE)+VLOOKUP(A30,'Dairy State Manure Mgmt'!$B$3:$I$52,8,FALSE)</f>
        <v>19</v>
      </c>
      <c r="P30" s="33">
        <f>+VLOOKUP(A30,'Dairy State Manure Mgmt'!$B$3:$I$52,7,FALSE)</f>
        <v>44</v>
      </c>
      <c r="Q30" s="33">
        <v>0</v>
      </c>
      <c r="R30" s="34">
        <f>VLOOKUP(A30,'Dairy State Manure Mgmt'!$B$3:$I$52,2,FALSE)+VLOOKUP(A30,'Dairy State Manure Mgmt'!$B$3:$I$52,3,FALSE)</f>
        <v>18</v>
      </c>
      <c r="S30" s="34">
        <f t="shared" si="0"/>
        <v>0</v>
      </c>
      <c r="T30" s="34">
        <f t="shared" si="1"/>
        <v>100</v>
      </c>
      <c r="U30" s="144">
        <f t="shared" si="10"/>
        <v>145.31122296000004</v>
      </c>
      <c r="V30" s="142">
        <f>(IF(B30="dairy cows",VLOOKUP(A30,'volatile solids and nex'!$B$4:$M$53,7,FALSE)) )</f>
        <v>1255</v>
      </c>
      <c r="W30" s="145">
        <f>IF(B30="dairy cows",VLOOKUP(A30,'volatile solids and nex'!$B$4:$M$54,5,FALSE)*('Dairy Animal Numbers, Mass, Mil'!$K$19/1000) ) * 365</f>
        <v>288.77163573600001</v>
      </c>
      <c r="X30" s="143">
        <f>IF(B30="dairy cows",VLOOKUP(A30,'volatile solids and nex'!$B$4:$P$53,15,FALSE),0)</f>
        <v>69</v>
      </c>
      <c r="Y30" s="33">
        <v>0.17</v>
      </c>
      <c r="Z30" s="34">
        <f>VLOOKUP($A30,'Dairy State Manure Mgmt'!$M$2:$Q$52,3,FALSE)</f>
        <v>83</v>
      </c>
      <c r="AA30" s="34">
        <f>VLOOKUP($A30,'Dairy State Manure Mgmt'!$M$2:$Q$52,4,FALSE)</f>
        <v>0</v>
      </c>
      <c r="AB30" s="34">
        <v>0</v>
      </c>
      <c r="AC30" s="34">
        <v>0</v>
      </c>
      <c r="AD30" s="34">
        <f>VLOOKUP($A30,'Dairy State Manure Mgmt'!$M$2:$Q$52,2,FALSE)+VLOOKUP($A30,'Dairy State Manure Mgmt'!$M$2:$Q$52,5,FALSE)</f>
        <v>17</v>
      </c>
      <c r="AE30" s="146">
        <f t="shared" si="3"/>
        <v>0</v>
      </c>
      <c r="AF30" s="146">
        <f t="shared" si="4"/>
        <v>100</v>
      </c>
      <c r="AG30" s="147">
        <f t="shared" si="5"/>
        <v>1.2851218323000002</v>
      </c>
      <c r="AH30" s="144">
        <f t="shared" si="6"/>
        <v>0.29570257660025223</v>
      </c>
      <c r="AI30" s="34">
        <f t="shared" si="7"/>
        <v>1.06335</v>
      </c>
      <c r="AJ30" s="34">
        <f t="shared" si="8"/>
        <v>1.1454</v>
      </c>
      <c r="AK30" s="148">
        <f>(H30 * 0.26 * 0.01 ) +            (H30 * ( ((VLOOKUP(A30,'avg ann temp, manure EFs'!$B$1:$AA$55,22,FALSE)/100*N30/100)+(VLOOKUP(A30,'avg ann temp, manure EFs'!$B$1:$AA$55,23,FALSE)/100*O30/100)+(VLOOKUP(A30,'avg ann temp, manure EFs'!$B$1:$AA$55,19,FALSE)/100*P30/100)+(0.05*R30/100) )  * 0.0075 ))</f>
        <v>0.71462475000000003</v>
      </c>
      <c r="AL30" s="148">
        <f>(X30 * 0.43 * 0.01 ) +            (X30 * ( ((VLOOKUP(A30,'avg ann temp, manure EFs'!$B$1:$AA$55,22,FALSE)/100*Z30/100)+(VLOOKUP(A30,'avg ann temp, manure EFs'!$B$1:$AA$55,23,FALSE)/100*AA30/100)+(VLOOKUP(A30,'avg ann temp, manure EFs'!$B$1:$AA$55,19,FALSE)/100*AB30/100)+(0.05*AD30/100) )  * 0.0075 ))</f>
        <v>0.36552750000000001</v>
      </c>
      <c r="AM30" s="149">
        <f>(('Dairy Manure Inventory'!U30*'Dairy Manure Inventory'!C30)/1000/1000000)*28</f>
        <v>6.1030713643200021E-2</v>
      </c>
      <c r="AN30" s="149">
        <f>(('Dairy Manure Inventory'!AH30*'Dairy Manure Inventory'!D30)/1000/1000000)*28 + (('Dairy Manure Inventory'!AG30*('Dairy Manure Inventory'!E30+'Dairy Manure Inventory'!F30) )/1000/1000000)*28</f>
        <v>3.5410466759365657E-4</v>
      </c>
      <c r="AO30" s="149">
        <f>(( ('Dairy Manure Inventory'!AI30+'Dairy Manure Inventory'!AK30) * 'Dairy Manure Inventory'!C30)/1000/1000000)*265</f>
        <v>7.0674496312500001E-3</v>
      </c>
      <c r="AP30" s="150">
        <f>(( ('Dairy Manure Inventory'!AJ30+'Dairy Manure Inventory'!AL30) * ('Dairy Manure Inventory'!D30+'Dairy Manure Inventory'!E30+'Dairy Manure Inventory'!F30) /1000/1000000)*265)</f>
        <v>6.4063326E-3</v>
      </c>
      <c r="AQ30" s="43">
        <f t="shared" si="9"/>
        <v>7.4858600542043671E-2</v>
      </c>
    </row>
    <row r="31" spans="1:43" ht="15.75" customHeight="1">
      <c r="A31" s="110" t="s">
        <v>64</v>
      </c>
      <c r="B31" s="45" t="s">
        <v>147</v>
      </c>
      <c r="C31" s="131">
        <f>VLOOKUP(A31,'Dairy Animal Numbers, Mass, Mil'!$B$4:$H$51,2,FALSE)</f>
        <v>58000</v>
      </c>
      <c r="D31" s="125">
        <f>VLOOKUP($A31,'Dairy Animal Numbers, Mass, Mil'!$B$4:$F$52,3,FALSE)</f>
        <v>30000</v>
      </c>
      <c r="E31" s="125">
        <f>VLOOKUP($A31,'Dairy Animal Numbers, Mass, Mil'!$B$4:$F$52,4,FALSE)</f>
        <v>9000</v>
      </c>
      <c r="F31" s="125">
        <f>VLOOKUP($A31,'Dairy Animal Numbers, Mass, Mil'!$B$4:$F$52,5,FALSE)</f>
        <v>21000</v>
      </c>
      <c r="G31" s="142">
        <f>IF(B31="dairy cows",VLOOKUP(A31,'volatile solids and nex'!$B$4:$P$53,6,FALSE),0)</f>
        <v>2936</v>
      </c>
      <c r="H31" s="143">
        <f>IF(B31="dairy cows",VLOOKUP(A31,'volatile solids and nex'!$B$4:$P$53,14,FALSE),0)</f>
        <v>163</v>
      </c>
      <c r="I31" s="120">
        <v>0.24</v>
      </c>
      <c r="J31" s="33">
        <f>VLOOKUP(A31,'avg ann temp, manure EFs'!$B$3:$J$52,6,FALSE)</f>
        <v>1</v>
      </c>
      <c r="K31" s="33">
        <f>VLOOKUP(A31,'avg ann temp, manure EFs'!$B$3:$J$52,5,FALSE)</f>
        <v>28</v>
      </c>
      <c r="L31" s="33">
        <f>VLOOKUP(A31,'avg ann temp, manure EFs'!$B$3:$J$52,4,FALSE)</f>
        <v>72</v>
      </c>
      <c r="M31" s="33">
        <f>VLOOKUP(A31,'avg ann temp, manure EFs'!$B$3:$J$52,9,FALSE)</f>
        <v>50</v>
      </c>
      <c r="N31" s="33">
        <f>VLOOKUP(A31,'Dairy State Manure Mgmt'!$B$3:$I$52,4,FALSE)+VLOOKUP(A31,'Dairy State Manure Mgmt'!$B$3:$I$52,5,FALSE)</f>
        <v>18</v>
      </c>
      <c r="O31" s="33">
        <f>+VLOOKUP(A31,'Dairy State Manure Mgmt'!$B$3:$I$52,6,FALSE)+VLOOKUP(A31,'Dairy State Manure Mgmt'!$B$3:$I$52,8,FALSE)</f>
        <v>17</v>
      </c>
      <c r="P31" s="33">
        <f>+VLOOKUP(A31,'Dairy State Manure Mgmt'!$B$3:$I$52,7,FALSE)</f>
        <v>50</v>
      </c>
      <c r="Q31" s="33">
        <v>0</v>
      </c>
      <c r="R31" s="34">
        <f>VLOOKUP(A31,'Dairy State Manure Mgmt'!$B$3:$I$52,2,FALSE)+VLOOKUP(A31,'Dairy State Manure Mgmt'!$B$3:$I$52,3,FALSE)</f>
        <v>15</v>
      </c>
      <c r="S31" s="34">
        <f t="shared" si="0"/>
        <v>0</v>
      </c>
      <c r="T31" s="34">
        <f t="shared" si="1"/>
        <v>100</v>
      </c>
      <c r="U31" s="144">
        <f t="shared" si="10"/>
        <v>190.97421079200001</v>
      </c>
      <c r="V31" s="142">
        <f>(IF(B31="dairy cows",VLOOKUP(A31,'volatile solids and nex'!$B$4:$M$53,7,FALSE)) )</f>
        <v>1255</v>
      </c>
      <c r="W31" s="145">
        <f>IF(B31="dairy cows",VLOOKUP(A31,'volatile solids and nex'!$B$4:$M$54,5,FALSE)*('Dairy Animal Numbers, Mass, Mil'!$K$19/1000) ) * 365</f>
        <v>288.77163573600001</v>
      </c>
      <c r="X31" s="143">
        <f>IF(B31="dairy cows",VLOOKUP(A31,'volatile solids and nex'!$B$4:$P$53,15,FALSE),0)</f>
        <v>69</v>
      </c>
      <c r="Y31" s="33">
        <v>0.17</v>
      </c>
      <c r="Z31" s="34">
        <f>VLOOKUP($A31,'Dairy State Manure Mgmt'!$M$2:$Q$52,3,FALSE)</f>
        <v>90</v>
      </c>
      <c r="AA31" s="34">
        <f>VLOOKUP($A31,'Dairy State Manure Mgmt'!$M$2:$Q$52,4,FALSE)</f>
        <v>0</v>
      </c>
      <c r="AB31" s="34">
        <v>0</v>
      </c>
      <c r="AC31" s="34">
        <v>0</v>
      </c>
      <c r="AD31" s="34">
        <f>VLOOKUP($A31,'Dairy State Manure Mgmt'!$M$2:$Q$52,2,FALSE)+VLOOKUP($A31,'Dairy State Manure Mgmt'!$M$2:$Q$52,5,FALSE)</f>
        <v>10</v>
      </c>
      <c r="AE31" s="146">
        <f t="shared" si="3"/>
        <v>0</v>
      </c>
      <c r="AF31" s="146">
        <f t="shared" si="4"/>
        <v>100</v>
      </c>
      <c r="AG31" s="147">
        <f t="shared" si="5"/>
        <v>1.3375210190000004</v>
      </c>
      <c r="AH31" s="144">
        <f t="shared" si="6"/>
        <v>0.30775946811785787</v>
      </c>
      <c r="AI31" s="34">
        <f t="shared" si="7"/>
        <v>1.1328499999999999</v>
      </c>
      <c r="AJ31" s="34">
        <f t="shared" si="8"/>
        <v>1.2420000000000002</v>
      </c>
      <c r="AK31" s="148">
        <f>(H31 * 0.26 * 0.01 ) +            (H31 * ( ((VLOOKUP(A31,'avg ann temp, manure EFs'!$B$1:$AA$55,22,FALSE)/100*N31/100)+(VLOOKUP(A31,'avg ann temp, manure EFs'!$B$1:$AA$55,23,FALSE)/100*O31/100)+(VLOOKUP(A31,'avg ann temp, manure EFs'!$B$1:$AA$55,19,FALSE)/100*P31/100)+(0.05*R31/100) )  * 0.0075 ))</f>
        <v>0.78284825000000002</v>
      </c>
      <c r="AL31" s="148">
        <f>(X31 * 0.43 * 0.01 ) +            (X31 * ( ((VLOOKUP(A31,'avg ann temp, manure EFs'!$B$1:$AA$55,22,FALSE)/100*Z31/100)+(VLOOKUP(A31,'avg ann temp, manure EFs'!$B$1:$AA$55,23,FALSE)/100*AA31/100)+(VLOOKUP(A31,'avg ann temp, manure EFs'!$B$1:$AA$55,19,FALSE)/100*AB31/100)+(0.05*AD31/100) )  * 0.0075 ))</f>
        <v>0.36914999999999998</v>
      </c>
      <c r="AM31" s="149">
        <f>(('Dairy Manure Inventory'!U31*'Dairy Manure Inventory'!C31)/1000/1000000)*28</f>
        <v>0.31014211832620803</v>
      </c>
      <c r="AN31" s="149">
        <f>(('Dairy Manure Inventory'!AH31*'Dairy Manure Inventory'!D31)/1000/1000000)*28 + (('Dairy Manure Inventory'!AG31*('Dairy Manure Inventory'!E31+'Dairy Manure Inventory'!F31) )/1000/1000000)*28</f>
        <v>1.3820356091790009E-3</v>
      </c>
      <c r="AO31" s="149">
        <f>(( ('Dairy Manure Inventory'!AI31+'Dairy Manure Inventory'!AK31) * 'Dairy Manure Inventory'!C31)/1000/1000000)*265</f>
        <v>2.9444282102500004E-2</v>
      </c>
      <c r="AP31" s="150">
        <f>(( ('Dairy Manure Inventory'!AJ31+'Dairy Manure Inventory'!AL31) * ('Dairy Manure Inventory'!D31+'Dairy Manure Inventory'!E31+'Dairy Manure Inventory'!F31) /1000/1000000)*265)</f>
        <v>2.5617285E-2</v>
      </c>
      <c r="AQ31" s="43">
        <f t="shared" si="9"/>
        <v>0.366585721037887</v>
      </c>
    </row>
    <row r="32" spans="1:43" ht="15.75" customHeight="1">
      <c r="A32" s="110" t="s">
        <v>65</v>
      </c>
      <c r="B32" s="45" t="s">
        <v>147</v>
      </c>
      <c r="C32" s="131">
        <f>VLOOKUP(A32,'Dairy Animal Numbers, Mass, Mil'!$B$4:$H$51,2,FALSE)</f>
        <v>11000</v>
      </c>
      <c r="D32" s="125">
        <f>VLOOKUP($A32,'Dairy Animal Numbers, Mass, Mil'!$B$4:$F$52,3,FALSE)</f>
        <v>6000</v>
      </c>
      <c r="E32" s="125">
        <f>VLOOKUP($A32,'Dairy Animal Numbers, Mass, Mil'!$B$4:$F$52,4,FALSE)</f>
        <v>2000</v>
      </c>
      <c r="F32" s="125">
        <f>VLOOKUP($A32,'Dairy Animal Numbers, Mass, Mil'!$B$4:$F$52,5,FALSE)</f>
        <v>5000</v>
      </c>
      <c r="G32" s="142">
        <f>IF(B32="dairy cows",VLOOKUP(A32,'volatile solids and nex'!$B$4:$P$53,6,FALSE),0)</f>
        <v>2678</v>
      </c>
      <c r="H32" s="143">
        <f>IF(B32="dairy cows",VLOOKUP(A32,'volatile solids and nex'!$B$4:$P$53,14,FALSE),0)</f>
        <v>152</v>
      </c>
      <c r="I32" s="120">
        <v>0.24</v>
      </c>
      <c r="J32" s="33">
        <f>VLOOKUP(A32,'avg ann temp, manure EFs'!$B$3:$J$52,6,FALSE)</f>
        <v>1</v>
      </c>
      <c r="K32" s="33">
        <f>VLOOKUP(A32,'avg ann temp, manure EFs'!$B$3:$J$52,5,FALSE)</f>
        <v>22</v>
      </c>
      <c r="L32" s="33">
        <f>VLOOKUP(A32,'avg ann temp, manure EFs'!$B$3:$J$52,4,FALSE)</f>
        <v>65</v>
      </c>
      <c r="M32" s="33">
        <f>VLOOKUP(A32,'avg ann temp, manure EFs'!$B$3:$J$52,9,FALSE)</f>
        <v>50</v>
      </c>
      <c r="N32" s="33">
        <f>VLOOKUP(A32,'Dairy State Manure Mgmt'!$B$3:$I$52,4,FALSE)+VLOOKUP(A32,'Dairy State Manure Mgmt'!$B$3:$I$52,5,FALSE)</f>
        <v>17</v>
      </c>
      <c r="O32" s="33">
        <f>+VLOOKUP(A32,'Dairy State Manure Mgmt'!$B$3:$I$52,6,FALSE)+VLOOKUP(A32,'Dairy State Manure Mgmt'!$B$3:$I$52,8,FALSE)</f>
        <v>36</v>
      </c>
      <c r="P32" s="33">
        <f>+VLOOKUP(A32,'Dairy State Manure Mgmt'!$B$3:$I$52,7,FALSE)</f>
        <v>22</v>
      </c>
      <c r="Q32" s="33">
        <v>0</v>
      </c>
      <c r="R32" s="34">
        <f>VLOOKUP(A32,'Dairy State Manure Mgmt'!$B$3:$I$52,2,FALSE)+VLOOKUP(A32,'Dairy State Manure Mgmt'!$B$3:$I$52,3,FALSE)</f>
        <v>26</v>
      </c>
      <c r="S32" s="34">
        <f t="shared" si="0"/>
        <v>-1</v>
      </c>
      <c r="T32" s="34">
        <f t="shared" si="1"/>
        <v>101</v>
      </c>
      <c r="U32" s="144">
        <f t="shared" si="10"/>
        <v>95.266337296000003</v>
      </c>
      <c r="V32" s="142">
        <f>(IF(B32="dairy cows",VLOOKUP(A32,'volatile solids and nex'!$B$4:$M$53,7,FALSE)) )</f>
        <v>1255</v>
      </c>
      <c r="W32" s="145">
        <f>IF(B32="dairy cows",VLOOKUP(A32,'volatile solids and nex'!$B$4:$M$54,5,FALSE)*('Dairy Animal Numbers, Mass, Mil'!$K$19/1000) ) * 365</f>
        <v>308.44029204000003</v>
      </c>
      <c r="X32" s="143">
        <f>IF(B32="dairy cows",VLOOKUP(A32,'volatile solids and nex'!$B$4:$P$53,15,FALSE),0)</f>
        <v>69</v>
      </c>
      <c r="Y32" s="33">
        <v>0.17</v>
      </c>
      <c r="Z32" s="34">
        <f>VLOOKUP($A32,'Dairy State Manure Mgmt'!$M$2:$Q$52,3,FALSE)</f>
        <v>49</v>
      </c>
      <c r="AA32" s="34">
        <f>VLOOKUP($A32,'Dairy State Manure Mgmt'!$M$2:$Q$52,4,FALSE)</f>
        <v>0</v>
      </c>
      <c r="AB32" s="34">
        <v>0</v>
      </c>
      <c r="AC32" s="34">
        <v>0</v>
      </c>
      <c r="AD32" s="34">
        <f>VLOOKUP($A32,'Dairy State Manure Mgmt'!$M$2:$Q$52,2,FALSE)+VLOOKUP($A32,'Dairy State Manure Mgmt'!$M$2:$Q$52,5,FALSE)</f>
        <v>51</v>
      </c>
      <c r="AE32" s="146">
        <f t="shared" si="3"/>
        <v>0</v>
      </c>
      <c r="AF32" s="146">
        <f t="shared" si="4"/>
        <v>100</v>
      </c>
      <c r="AG32" s="147">
        <f t="shared" si="5"/>
        <v>1.0306114969</v>
      </c>
      <c r="AH32" s="144">
        <f t="shared" si="6"/>
        <v>0.25329251879172721</v>
      </c>
      <c r="AI32" s="34">
        <f t="shared" si="7"/>
        <v>0.95760000000000001</v>
      </c>
      <c r="AJ32" s="34">
        <f t="shared" si="8"/>
        <v>0.67620000000000002</v>
      </c>
      <c r="AK32" s="148">
        <f>(H32 * 0.26 * 0.01 ) +            (H32 * ( ((VLOOKUP(A32,'avg ann temp, manure EFs'!$B$1:$AA$55,22,FALSE)/100*N32/100)+(VLOOKUP(A32,'avg ann temp, manure EFs'!$B$1:$AA$55,23,FALSE)/100*O32/100)+(VLOOKUP(A32,'avg ann temp, manure EFs'!$B$1:$AA$55,19,FALSE)/100*P32/100)+(0.05*R32/100) )  * 0.0075 ))</f>
        <v>0.65363799999999994</v>
      </c>
      <c r="AL32" s="148">
        <f>(X32 * 0.43 * 0.01 ) +            (X32 * ( ((VLOOKUP(A32,'avg ann temp, manure EFs'!$B$1:$AA$55,22,FALSE)/100*Z32/100)+(VLOOKUP(A32,'avg ann temp, manure EFs'!$B$1:$AA$55,23,FALSE)/100*AA32/100)+(VLOOKUP(A32,'avg ann temp, manure EFs'!$B$1:$AA$55,19,FALSE)/100*AB32/100)+(0.05*AD32/100) )  * 0.0075 ))</f>
        <v>0.34793249999999998</v>
      </c>
      <c r="AM32" s="149">
        <f>(('Dairy Manure Inventory'!U32*'Dairy Manure Inventory'!C32)/1000/1000000)*28</f>
        <v>2.9342031887168007E-2</v>
      </c>
      <c r="AN32" s="149">
        <f>(('Dairy Manure Inventory'!AH32*'Dairy Manure Inventory'!D32)/1000/1000000)*28 + (('Dairy Manure Inventory'!AG32*('Dairy Manure Inventory'!E32+'Dairy Manure Inventory'!F32) )/1000/1000000)*28</f>
        <v>2.4455299654941014E-4</v>
      </c>
      <c r="AO32" s="149">
        <f>(( ('Dairy Manure Inventory'!AI32+'Dairy Manure Inventory'!AK32) * 'Dairy Manure Inventory'!C32)/1000/1000000)*265</f>
        <v>4.6967587699999992E-3</v>
      </c>
      <c r="AP32" s="150">
        <f>(( ('Dairy Manure Inventory'!AJ32+'Dairy Manure Inventory'!AL32) * ('Dairy Manure Inventory'!D32+'Dairy Manure Inventory'!E32+'Dairy Manure Inventory'!F32) /1000/1000000)*265)</f>
        <v>3.5281364624999995E-3</v>
      </c>
      <c r="AQ32" s="43">
        <f t="shared" si="9"/>
        <v>3.7811480116217412E-2</v>
      </c>
    </row>
    <row r="33" spans="1:43" ht="15.75" customHeight="1">
      <c r="A33" s="110" t="s">
        <v>66</v>
      </c>
      <c r="B33" s="45" t="s">
        <v>147</v>
      </c>
      <c r="C33" s="131">
        <f>VLOOKUP(A33,'Dairy Animal Numbers, Mass, Mil'!$B$4:$H$51,2,FALSE)</f>
        <v>5000</v>
      </c>
      <c r="D33" s="125">
        <f>VLOOKUP($A33,'Dairy Animal Numbers, Mass, Mil'!$B$4:$F$52,3,FALSE)</f>
        <v>2000</v>
      </c>
      <c r="E33" s="125">
        <f>VLOOKUP($A33,'Dairy Animal Numbers, Mass, Mil'!$B$4:$F$52,4,FALSE)</f>
        <v>1000</v>
      </c>
      <c r="F33" s="125">
        <f>VLOOKUP($A33,'Dairy Animal Numbers, Mass, Mil'!$B$4:$F$52,5,FALSE)</f>
        <v>2000</v>
      </c>
      <c r="G33" s="142">
        <f>IF(B33="dairy cows",VLOOKUP(A33,'volatile solids and nex'!$B$4:$P$53,6,FALSE),0)</f>
        <v>2569</v>
      </c>
      <c r="H33" s="143">
        <f>IF(B33="dairy cows",VLOOKUP(A33,'volatile solids and nex'!$B$4:$P$53,14,FALSE),0)</f>
        <v>147</v>
      </c>
      <c r="I33" s="120">
        <v>0.24</v>
      </c>
      <c r="J33" s="33">
        <f>VLOOKUP(A33,'avg ann temp, manure EFs'!$B$3:$J$52,6,FALSE)</f>
        <v>1</v>
      </c>
      <c r="K33" s="33">
        <f>VLOOKUP(A33,'avg ann temp, manure EFs'!$B$3:$J$52,5,FALSE)</f>
        <v>30</v>
      </c>
      <c r="L33" s="33">
        <f>VLOOKUP(A33,'avg ann temp, manure EFs'!$B$3:$J$52,4,FALSE)</f>
        <v>73</v>
      </c>
      <c r="M33" s="33">
        <f>VLOOKUP(A33,'avg ann temp, manure EFs'!$B$3:$J$52,9,FALSE)</f>
        <v>50</v>
      </c>
      <c r="N33" s="33">
        <f>VLOOKUP(A33,'Dairy State Manure Mgmt'!$B$3:$I$52,4,FALSE)+VLOOKUP(A33,'Dairy State Manure Mgmt'!$B$3:$I$52,5,FALSE)</f>
        <v>16</v>
      </c>
      <c r="O33" s="33">
        <f>+VLOOKUP(A33,'Dairy State Manure Mgmt'!$B$3:$I$52,6,FALSE)+VLOOKUP(A33,'Dairy State Manure Mgmt'!$B$3:$I$52,8,FALSE)</f>
        <v>35</v>
      </c>
      <c r="P33" s="33">
        <f>+VLOOKUP(A33,'Dairy State Manure Mgmt'!$B$3:$I$52,7,FALSE)</f>
        <v>16</v>
      </c>
      <c r="Q33" s="33">
        <v>0</v>
      </c>
      <c r="R33" s="34">
        <f>VLOOKUP(A33,'Dairy State Manure Mgmt'!$B$3:$I$52,2,FALSE)+VLOOKUP(A33,'Dairy State Manure Mgmt'!$B$3:$I$52,3,FALSE)</f>
        <v>32</v>
      </c>
      <c r="S33" s="34">
        <f t="shared" si="0"/>
        <v>1</v>
      </c>
      <c r="T33" s="34">
        <f t="shared" si="1"/>
        <v>99</v>
      </c>
      <c r="U33" s="144">
        <f t="shared" si="10"/>
        <v>91.185055648000002</v>
      </c>
      <c r="V33" s="142">
        <f>(IF(B33="dairy cows",VLOOKUP(A33,'volatile solids and nex'!$B$4:$M$53,7,FALSE)) )</f>
        <v>1255</v>
      </c>
      <c r="W33" s="145">
        <f>IF(B33="dairy cows",VLOOKUP(A33,'volatile solids and nex'!$B$4:$M$54,5,FALSE)*('Dairy Animal Numbers, Mass, Mil'!$K$19/1000) ) * 365</f>
        <v>308.44029204000003</v>
      </c>
      <c r="X33" s="143">
        <f>IF(B33="dairy cows",VLOOKUP(A33,'volatile solids and nex'!$B$4:$P$53,15,FALSE),0)</f>
        <v>69</v>
      </c>
      <c r="Y33" s="33">
        <v>0.17</v>
      </c>
      <c r="Z33" s="34">
        <f>VLOOKUP($A33,'Dairy State Manure Mgmt'!$M$2:$Q$52,3,FALSE)</f>
        <v>47</v>
      </c>
      <c r="AA33" s="34">
        <f>VLOOKUP($A33,'Dairy State Manure Mgmt'!$M$2:$Q$52,4,FALSE)</f>
        <v>0</v>
      </c>
      <c r="AB33" s="34">
        <v>0</v>
      </c>
      <c r="AC33" s="34">
        <v>0</v>
      </c>
      <c r="AD33" s="34">
        <f>VLOOKUP($A33,'Dairy State Manure Mgmt'!$M$2:$Q$52,2,FALSE)+VLOOKUP($A33,'Dairy State Manure Mgmt'!$M$2:$Q$52,5,FALSE)</f>
        <v>53</v>
      </c>
      <c r="AE33" s="146">
        <f t="shared" si="3"/>
        <v>0</v>
      </c>
      <c r="AF33" s="146">
        <f t="shared" si="4"/>
        <v>100</v>
      </c>
      <c r="AG33" s="147">
        <f t="shared" si="5"/>
        <v>1.0156403007000001</v>
      </c>
      <c r="AH33" s="144">
        <f t="shared" si="6"/>
        <v>0.24961306052231197</v>
      </c>
      <c r="AI33" s="34">
        <f t="shared" si="7"/>
        <v>0.84525000000000017</v>
      </c>
      <c r="AJ33" s="34">
        <f t="shared" si="8"/>
        <v>0.64860000000000007</v>
      </c>
      <c r="AK33" s="148">
        <f>(H33 * 0.26 * 0.01 ) +            (H33 * ( ((VLOOKUP(A33,'avg ann temp, manure EFs'!$B$1:$AA$55,22,FALSE)/100*N33/100)+(VLOOKUP(A33,'avg ann temp, manure EFs'!$B$1:$AA$55,23,FALSE)/100*O33/100)+(VLOOKUP(A33,'avg ann temp, manure EFs'!$B$1:$AA$55,19,FALSE)/100*P33/100)+(0.05*R33/100) )  * 0.0075 ))</f>
        <v>0.60247949999999995</v>
      </c>
      <c r="AL33" s="148">
        <f>(X33 * 0.43 * 0.01 ) +            (X33 * ( ((VLOOKUP(A33,'avg ann temp, manure EFs'!$B$1:$AA$55,22,FALSE)/100*Z33/100)+(VLOOKUP(A33,'avg ann temp, manure EFs'!$B$1:$AA$55,23,FALSE)/100*AA33/100)+(VLOOKUP(A33,'avg ann temp, manure EFs'!$B$1:$AA$55,19,FALSE)/100*AB33/100)+(0.05*AD33/100) )  * 0.0075 ))</f>
        <v>0.34689749999999997</v>
      </c>
      <c r="AM33" s="149">
        <f>(('Dairy Manure Inventory'!U33*'Dairy Manure Inventory'!C33)/1000/1000000)*28</f>
        <v>1.2765907790720002E-2</v>
      </c>
      <c r="AN33" s="149">
        <f>(('Dairy Manure Inventory'!AH33*'Dairy Manure Inventory'!D33)/1000/1000000)*28 + (('Dairy Manure Inventory'!AG33*('Dairy Manure Inventory'!E33+'Dairy Manure Inventory'!F33) )/1000/1000000)*28</f>
        <v>9.9292116648049466E-5</v>
      </c>
      <c r="AO33" s="149">
        <f>(( ('Dairy Manure Inventory'!AI33+'Dairy Manure Inventory'!AK33) * 'Dairy Manure Inventory'!C33)/1000/1000000)*265</f>
        <v>1.9182415875E-3</v>
      </c>
      <c r="AP33" s="150">
        <f>(( ('Dairy Manure Inventory'!AJ33+'Dairy Manure Inventory'!AL33) * ('Dairy Manure Inventory'!D33+'Dairy Manure Inventory'!E33+'Dairy Manure Inventory'!F33) /1000/1000000)*265)</f>
        <v>1.3190341875000001E-3</v>
      </c>
      <c r="AQ33" s="43">
        <f t="shared" si="9"/>
        <v>1.6102475682368049E-2</v>
      </c>
    </row>
    <row r="34" spans="1:43" ht="15.75" customHeight="1">
      <c r="A34" s="110" t="s">
        <v>67</v>
      </c>
      <c r="B34" s="45" t="s">
        <v>147</v>
      </c>
      <c r="C34" s="131">
        <f>VLOOKUP(A34,'Dairy Animal Numbers, Mass, Mil'!$B$4:$H$51,2,FALSE)</f>
        <v>330000</v>
      </c>
      <c r="D34" s="125">
        <f>VLOOKUP($A34,'Dairy Animal Numbers, Mass, Mil'!$B$4:$F$52,3,FALSE)</f>
        <v>170000</v>
      </c>
      <c r="E34" s="125">
        <f>VLOOKUP($A34,'Dairy Animal Numbers, Mass, Mil'!$B$4:$F$52,4,FALSE)</f>
        <v>41000</v>
      </c>
      <c r="F34" s="125">
        <f>VLOOKUP($A34,'Dairy Animal Numbers, Mass, Mil'!$B$4:$F$52,5,FALSE)</f>
        <v>98000</v>
      </c>
      <c r="G34" s="142">
        <f>IF(B34="dairy cows",VLOOKUP(A34,'volatile solids and nex'!$B$4:$P$53,6,FALSE),0)</f>
        <v>2937</v>
      </c>
      <c r="H34" s="143">
        <f>IF(B34="dairy cows",VLOOKUP(A34,'volatile solids and nex'!$B$4:$P$53,14,FALSE),0)</f>
        <v>163</v>
      </c>
      <c r="I34" s="120">
        <v>0.24</v>
      </c>
      <c r="J34" s="33">
        <f>VLOOKUP(A34,'avg ann temp, manure EFs'!$B$3:$J$52,6,FALSE)</f>
        <v>1</v>
      </c>
      <c r="K34" s="33">
        <f>VLOOKUP(A34,'avg ann temp, manure EFs'!$B$3:$J$52,5,FALSE)</f>
        <v>34</v>
      </c>
      <c r="L34" s="33">
        <f>VLOOKUP(A34,'avg ann temp, manure EFs'!$B$3:$J$52,4,FALSE)</f>
        <v>75</v>
      </c>
      <c r="M34" s="33">
        <f>VLOOKUP(A34,'avg ann temp, manure EFs'!$B$3:$J$52,9,FALSE)</f>
        <v>50</v>
      </c>
      <c r="N34" s="33">
        <f>VLOOKUP(A34,'Dairy State Manure Mgmt'!$B$3:$I$52,4,FALSE)+VLOOKUP(A34,'Dairy State Manure Mgmt'!$B$3:$I$52,5,FALSE)</f>
        <v>53</v>
      </c>
      <c r="O34" s="33">
        <f>+VLOOKUP(A34,'Dairy State Manure Mgmt'!$B$3:$I$52,6,FALSE)+VLOOKUP(A34,'Dairy State Manure Mgmt'!$B$3:$I$52,8,FALSE)</f>
        <v>8</v>
      </c>
      <c r="P34" s="33">
        <f>+VLOOKUP(A34,'Dairy State Manure Mgmt'!$B$3:$I$52,7,FALSE)</f>
        <v>30</v>
      </c>
      <c r="Q34" s="33">
        <v>0</v>
      </c>
      <c r="R34" s="34">
        <f>VLOOKUP(A34,'Dairy State Manure Mgmt'!$B$3:$I$52,2,FALSE)+VLOOKUP(A34,'Dairy State Manure Mgmt'!$B$3:$I$52,3,FALSE)</f>
        <v>10</v>
      </c>
      <c r="S34" s="34">
        <f t="shared" si="0"/>
        <v>-1</v>
      </c>
      <c r="T34" s="34">
        <f t="shared" si="1"/>
        <v>101</v>
      </c>
      <c r="U34" s="144">
        <f t="shared" si="10"/>
        <v>120.15783920000001</v>
      </c>
      <c r="V34" s="142">
        <f>(IF(B34="dairy cows",VLOOKUP(A34,'volatile solids and nex'!$B$4:$M$53,7,FALSE)) )</f>
        <v>1255</v>
      </c>
      <c r="W34" s="145">
        <f>IF(B34="dairy cows",VLOOKUP(A34,'volatile solids and nex'!$B$4:$M$54,5,FALSE)*('Dairy Animal Numbers, Mass, Mil'!$K$19/1000) ) * 365</f>
        <v>403.20745423200003</v>
      </c>
      <c r="X34" s="143">
        <f>IF(B34="dairy cows",VLOOKUP(A34,'volatile solids and nex'!$B$4:$P$53,15,FALSE),0)</f>
        <v>69</v>
      </c>
      <c r="Y34" s="33">
        <v>0.17</v>
      </c>
      <c r="Z34" s="34">
        <f>VLOOKUP($A34,'Dairy State Manure Mgmt'!$M$2:$Q$52,3,FALSE)</f>
        <v>90</v>
      </c>
      <c r="AA34" s="34">
        <f>VLOOKUP($A34,'Dairy State Manure Mgmt'!$M$2:$Q$52,4,FALSE)</f>
        <v>0</v>
      </c>
      <c r="AB34" s="34">
        <v>0</v>
      </c>
      <c r="AC34" s="34">
        <v>0</v>
      </c>
      <c r="AD34" s="34">
        <f>VLOOKUP($A34,'Dairy State Manure Mgmt'!$M$2:$Q$52,2,FALSE)+VLOOKUP($A34,'Dairy State Manure Mgmt'!$M$2:$Q$52,5,FALSE)</f>
        <v>10</v>
      </c>
      <c r="AE34" s="146">
        <f t="shared" si="3"/>
        <v>0</v>
      </c>
      <c r="AF34" s="146">
        <f t="shared" si="4"/>
        <v>100</v>
      </c>
      <c r="AG34" s="147">
        <f t="shared" si="5"/>
        <v>1.3375210190000004</v>
      </c>
      <c r="AH34" s="144">
        <f t="shared" si="6"/>
        <v>0.42971987653608024</v>
      </c>
      <c r="AI34" s="34">
        <f t="shared" si="7"/>
        <v>2.0374999999999996</v>
      </c>
      <c r="AJ34" s="34">
        <f t="shared" si="8"/>
        <v>1.2420000000000002</v>
      </c>
      <c r="AK34" s="148">
        <f>(H34 * 0.26 * 0.01 ) +            (H34 * ( ((VLOOKUP(A34,'avg ann temp, manure EFs'!$B$1:$AA$55,22,FALSE)/100*N34/100)+(VLOOKUP(A34,'avg ann temp, manure EFs'!$B$1:$AA$55,23,FALSE)/100*O34/100)+(VLOOKUP(A34,'avg ann temp, manure EFs'!$B$1:$AA$55,19,FALSE)/100*P34/100)+(0.05*R34/100) )  * 0.0075 ))</f>
        <v>0.71023174999999994</v>
      </c>
      <c r="AL34" s="148">
        <f>(X34 * 0.43 * 0.01 ) +            (X34 * ( ((VLOOKUP(A34,'avg ann temp, manure EFs'!$B$1:$AA$55,22,FALSE)/100*Z34/100)+(VLOOKUP(A34,'avg ann temp, manure EFs'!$B$1:$AA$55,23,FALSE)/100*AA34/100)+(VLOOKUP(A34,'avg ann temp, manure EFs'!$B$1:$AA$55,19,FALSE)/100*AB34/100)+(0.05*AD34/100) )  * 0.0075 ))</f>
        <v>0.36914999999999998</v>
      </c>
      <c r="AM34" s="149">
        <f>(('Dairy Manure Inventory'!U34*'Dairy Manure Inventory'!C34)/1000/1000000)*28</f>
        <v>1.1102584342080002</v>
      </c>
      <c r="AN34" s="149">
        <f>(('Dairy Manure Inventory'!AH34*'Dairy Manure Inventory'!D34)/1000/1000000)*28 + (('Dairy Manure Inventory'!AG34*('Dairy Manure Inventory'!E34+'Dairy Manure Inventory'!F34) )/1000/1000000)*28</f>
        <v>7.2510984182597438E-3</v>
      </c>
      <c r="AO34" s="149">
        <f>(( ('Dairy Manure Inventory'!AI34+'Dairy Manure Inventory'!AK34) * 'Dairy Manure Inventory'!C34)/1000/1000000)*265</f>
        <v>0.2402891415375</v>
      </c>
      <c r="AP34" s="150">
        <f>(( ('Dairy Manure Inventory'!AJ34+'Dairy Manure Inventory'!AL34) * ('Dairy Manure Inventory'!D34+'Dairy Manure Inventory'!E34+'Dairy Manure Inventory'!F34) /1000/1000000)*265)</f>
        <v>0.13192901775000004</v>
      </c>
      <c r="AQ34" s="43">
        <f t="shared" si="9"/>
        <v>1.4897276919137599</v>
      </c>
    </row>
    <row r="35" spans="1:43" ht="15.75" customHeight="1">
      <c r="A35" s="110" t="s">
        <v>68</v>
      </c>
      <c r="B35" s="45" t="s">
        <v>147</v>
      </c>
      <c r="C35" s="131">
        <f>VLOOKUP(A35,'Dairy Animal Numbers, Mass, Mil'!$B$4:$H$51,2,FALSE)</f>
        <v>31000</v>
      </c>
      <c r="D35" s="125">
        <f>VLOOKUP($A35,'Dairy Animal Numbers, Mass, Mil'!$B$4:$F$52,3,FALSE)</f>
        <v>16000</v>
      </c>
      <c r="E35" s="125">
        <f>VLOOKUP($A35,'Dairy Animal Numbers, Mass, Mil'!$B$4:$F$52,4,FALSE)</f>
        <v>3000</v>
      </c>
      <c r="F35" s="125">
        <f>VLOOKUP($A35,'Dairy Animal Numbers, Mass, Mil'!$B$4:$F$52,5,FALSE)</f>
        <v>7000</v>
      </c>
      <c r="G35" s="142">
        <f>IF(B35="dairy cows",VLOOKUP(A35,'volatile solids and nex'!$B$4:$P$53,6,FALSE),0)</f>
        <v>2931</v>
      </c>
      <c r="H35" s="143">
        <f>IF(B35="dairy cows",VLOOKUP(A35,'volatile solids and nex'!$B$4:$P$53,14,FALSE),0)</f>
        <v>162</v>
      </c>
      <c r="I35" s="120">
        <v>0.24</v>
      </c>
      <c r="J35" s="33">
        <f>VLOOKUP(A35,'avg ann temp, manure EFs'!$B$3:$J$52,6,FALSE)</f>
        <v>1</v>
      </c>
      <c r="K35" s="33">
        <f>VLOOKUP(A35,'avg ann temp, manure EFs'!$B$3:$J$52,5,FALSE)</f>
        <v>27</v>
      </c>
      <c r="L35" s="33">
        <f>VLOOKUP(A35,'avg ann temp, manure EFs'!$B$3:$J$52,4,FALSE)</f>
        <v>72</v>
      </c>
      <c r="M35" s="33">
        <f>VLOOKUP(A35,'avg ann temp, manure EFs'!$B$3:$J$52,9,FALSE)</f>
        <v>50</v>
      </c>
      <c r="N35" s="33">
        <f>VLOOKUP(A35,'Dairy State Manure Mgmt'!$B$3:$I$52,4,FALSE)+VLOOKUP(A35,'Dairy State Manure Mgmt'!$B$3:$I$52,5,FALSE)</f>
        <v>14</v>
      </c>
      <c r="O35" s="33">
        <f>+VLOOKUP(A35,'Dairy State Manure Mgmt'!$B$3:$I$52,6,FALSE)+VLOOKUP(A35,'Dairy State Manure Mgmt'!$B$3:$I$52,8,FALSE)</f>
        <v>15</v>
      </c>
      <c r="P35" s="33">
        <f>+VLOOKUP(A35,'Dairy State Manure Mgmt'!$B$3:$I$52,7,FALSE)</f>
        <v>61</v>
      </c>
      <c r="Q35" s="33">
        <v>0</v>
      </c>
      <c r="R35" s="34">
        <f>VLOOKUP(A35,'Dairy State Manure Mgmt'!$B$3:$I$52,2,FALSE)+VLOOKUP(A35,'Dairy State Manure Mgmt'!$B$3:$I$52,3,FALSE)</f>
        <v>11</v>
      </c>
      <c r="S35" s="34">
        <f t="shared" si="0"/>
        <v>-1</v>
      </c>
      <c r="T35" s="34">
        <f t="shared" si="1"/>
        <v>101</v>
      </c>
      <c r="U35" s="144">
        <f t="shared" si="10"/>
        <v>224.03785640800001</v>
      </c>
      <c r="V35" s="142">
        <f>(IF(B35="dairy cows",VLOOKUP(A35,'volatile solids and nex'!$B$4:$M$53,7,FALSE)) )</f>
        <v>1255</v>
      </c>
      <c r="W35" s="145">
        <f>IF(B35="dairy cows",VLOOKUP(A35,'volatile solids and nex'!$B$4:$M$54,5,FALSE)*('Dairy Animal Numbers, Mass, Mil'!$K$19/1000) ) * 365</f>
        <v>403.20745423200003</v>
      </c>
      <c r="X35" s="143">
        <f>IF(B35="dairy cows",VLOOKUP(A35,'volatile solids and nex'!$B$4:$P$53,15,FALSE),0)</f>
        <v>69</v>
      </c>
      <c r="Y35" s="33">
        <v>0.17</v>
      </c>
      <c r="Z35" s="34">
        <f>VLOOKUP($A35,'Dairy State Manure Mgmt'!$M$2:$Q$52,3,FALSE)</f>
        <v>99</v>
      </c>
      <c r="AA35" s="34">
        <f>VLOOKUP($A35,'Dairy State Manure Mgmt'!$M$2:$Q$52,4,FALSE)</f>
        <v>0</v>
      </c>
      <c r="AB35" s="34">
        <v>0</v>
      </c>
      <c r="AC35" s="34">
        <v>0</v>
      </c>
      <c r="AD35" s="34">
        <f>VLOOKUP($A35,'Dairy State Manure Mgmt'!$M$2:$Q$52,2,FALSE)+VLOOKUP($A35,'Dairy State Manure Mgmt'!$M$2:$Q$52,5,FALSE)</f>
        <v>0</v>
      </c>
      <c r="AE35" s="146">
        <f t="shared" si="3"/>
        <v>1</v>
      </c>
      <c r="AF35" s="146">
        <f t="shared" si="4"/>
        <v>99</v>
      </c>
      <c r="AG35" s="147">
        <f t="shared" si="5"/>
        <v>1.3982532300000001</v>
      </c>
      <c r="AH35" s="144">
        <f t="shared" si="6"/>
        <v>0.44923197230276596</v>
      </c>
      <c r="AI35" s="34">
        <f t="shared" si="7"/>
        <v>1.0691999999999999</v>
      </c>
      <c r="AJ35" s="34">
        <f t="shared" si="8"/>
        <v>1.3661999999999999</v>
      </c>
      <c r="AK35" s="148">
        <f>(H35 * 0.26 * 0.01 ) +            (H35 * ( ((VLOOKUP(A35,'avg ann temp, manure EFs'!$B$1:$AA$55,22,FALSE)/100*N35/100)+(VLOOKUP(A35,'avg ann temp, manure EFs'!$B$1:$AA$55,23,FALSE)/100*O35/100)+(VLOOKUP(A35,'avg ann temp, manure EFs'!$B$1:$AA$55,19,FALSE)/100*P35/100)+(0.05*R35/100) )  * 0.0075 ))</f>
        <v>0.81947700000000001</v>
      </c>
      <c r="AL35" s="148">
        <f>(X35 * 0.43 * 0.01 ) +            (X35 * ( ((VLOOKUP(A35,'avg ann temp, manure EFs'!$B$1:$AA$55,22,FALSE)/100*Z35/100)+(VLOOKUP(A35,'avg ann temp, manure EFs'!$B$1:$AA$55,23,FALSE)/100*AA35/100)+(VLOOKUP(A35,'avg ann temp, manure EFs'!$B$1:$AA$55,19,FALSE)/100*AB35/100)+(0.05*AD35/100) )  * 0.0075 ))</f>
        <v>0.37354874999999998</v>
      </c>
      <c r="AM35" s="149">
        <f>(('Dairy Manure Inventory'!U35*'Dairy Manure Inventory'!C35)/1000/1000000)*28</f>
        <v>0.19446485936214403</v>
      </c>
      <c r="AN35" s="149">
        <f>(('Dairy Manure Inventory'!AH35*'Dairy Manure Inventory'!D35)/1000/1000000)*28 + (('Dairy Manure Inventory'!AG35*('Dairy Manure Inventory'!E35+'Dairy Manure Inventory'!F35) )/1000/1000000)*28</f>
        <v>5.9276682799163922E-4</v>
      </c>
      <c r="AO35" s="149">
        <f>(( ('Dairy Manure Inventory'!AI35+'Dairy Manure Inventory'!AK35) * 'Dairy Manure Inventory'!C35)/1000/1000000)*265</f>
        <v>1.5515481555E-2</v>
      </c>
      <c r="AP35" s="150">
        <f>(( ('Dairy Manure Inventory'!AJ35+'Dairy Manure Inventory'!AL35) * ('Dairy Manure Inventory'!D35+'Dairy Manure Inventory'!E35+'Dairy Manure Inventory'!F35) /1000/1000000)*265)</f>
        <v>1.1986868887499998E-2</v>
      </c>
      <c r="AQ35" s="43">
        <f t="shared" si="9"/>
        <v>0.22255997663263566</v>
      </c>
    </row>
    <row r="36" spans="1:43" ht="15.75" customHeight="1">
      <c r="A36" s="110" t="s">
        <v>69</v>
      </c>
      <c r="B36" s="45" t="s">
        <v>147</v>
      </c>
      <c r="C36" s="131">
        <f>VLOOKUP(A36,'Dairy Animal Numbers, Mass, Mil'!$B$4:$H$51,2,FALSE)</f>
        <v>252000</v>
      </c>
      <c r="D36" s="125">
        <f>VLOOKUP($A36,'Dairy Animal Numbers, Mass, Mil'!$B$4:$F$52,3,FALSE)</f>
        <v>130000</v>
      </c>
      <c r="E36" s="125">
        <f>VLOOKUP($A36,'Dairy Animal Numbers, Mass, Mil'!$B$4:$F$52,4,FALSE)</f>
        <v>35000</v>
      </c>
      <c r="F36" s="125">
        <f>VLOOKUP($A36,'Dairy Animal Numbers, Mass, Mil'!$B$4:$F$52,5,FALSE)</f>
        <v>84000</v>
      </c>
      <c r="G36" s="142">
        <f>IF(B36="dairy cows",VLOOKUP(A36,'volatile solids and nex'!$B$4:$P$53,6,FALSE),0)</f>
        <v>2741</v>
      </c>
      <c r="H36" s="143">
        <f>IF(B36="dairy cows",VLOOKUP(A36,'volatile solids and nex'!$B$4:$P$53,14,FALSE),0)</f>
        <v>154</v>
      </c>
      <c r="I36" s="120">
        <v>0.24</v>
      </c>
      <c r="J36" s="33">
        <f>VLOOKUP(A36,'avg ann temp, manure EFs'!$B$3:$J$52,6,FALSE)</f>
        <v>1</v>
      </c>
      <c r="K36" s="33">
        <f>VLOOKUP(A36,'avg ann temp, manure EFs'!$B$3:$J$52,5,FALSE)</f>
        <v>27</v>
      </c>
      <c r="L36" s="33">
        <f>VLOOKUP(A36,'avg ann temp, manure EFs'!$B$3:$J$52,4,FALSE)</f>
        <v>71</v>
      </c>
      <c r="M36" s="33">
        <f>VLOOKUP(A36,'avg ann temp, manure EFs'!$B$3:$J$52,9,FALSE)</f>
        <v>50</v>
      </c>
      <c r="N36" s="33">
        <f>VLOOKUP(A36,'Dairy State Manure Mgmt'!$B$3:$I$52,4,FALSE)+VLOOKUP(A36,'Dairy State Manure Mgmt'!$B$3:$I$52,5,FALSE)</f>
        <v>23</v>
      </c>
      <c r="O36" s="33">
        <f>+VLOOKUP(A36,'Dairy State Manure Mgmt'!$B$3:$I$52,6,FALSE)+VLOOKUP(A36,'Dairy State Manure Mgmt'!$B$3:$I$52,8,FALSE)</f>
        <v>19</v>
      </c>
      <c r="P36" s="33">
        <f>+VLOOKUP(A36,'Dairy State Manure Mgmt'!$B$3:$I$52,7,FALSE)</f>
        <v>35</v>
      </c>
      <c r="Q36" s="33">
        <v>0</v>
      </c>
      <c r="R36" s="34">
        <f>VLOOKUP(A36,'Dairy State Manure Mgmt'!$B$3:$I$52,2,FALSE)+VLOOKUP(A36,'Dairy State Manure Mgmt'!$B$3:$I$52,3,FALSE)</f>
        <v>24</v>
      </c>
      <c r="S36" s="34">
        <f t="shared" si="0"/>
        <v>-1</v>
      </c>
      <c r="T36" s="34">
        <f t="shared" si="1"/>
        <v>101</v>
      </c>
      <c r="U36" s="144">
        <f t="shared" si="10"/>
        <v>131.56268116799998</v>
      </c>
      <c r="V36" s="142">
        <f>(IF(B36="dairy cows",VLOOKUP(A36,'volatile solids and nex'!$B$4:$M$53,7,FALSE)) )</f>
        <v>1255</v>
      </c>
      <c r="W36" s="145">
        <f>IF(B36="dairy cows",VLOOKUP(A36,'volatile solids and nex'!$B$4:$M$54,5,FALSE)*('Dairy Animal Numbers, Mass, Mil'!$K$19/1000) ) * 365</f>
        <v>308.88730695600003</v>
      </c>
      <c r="X36" s="143">
        <f>IF(B36="dairy cows",VLOOKUP(A36,'volatile solids and nex'!$B$4:$P$53,15,FALSE),0)</f>
        <v>69</v>
      </c>
      <c r="Y36" s="33">
        <v>0.17</v>
      </c>
      <c r="Z36" s="34">
        <f>VLOOKUP($A36,'Dairy State Manure Mgmt'!$M$2:$Q$52,3,FALSE)</f>
        <v>78</v>
      </c>
      <c r="AA36" s="34">
        <f>VLOOKUP($A36,'Dairy State Manure Mgmt'!$M$2:$Q$52,4,FALSE)</f>
        <v>0</v>
      </c>
      <c r="AB36" s="34">
        <v>0</v>
      </c>
      <c r="AC36" s="34">
        <v>0</v>
      </c>
      <c r="AD36" s="34">
        <f>VLOOKUP($A36,'Dairy State Manure Mgmt'!$M$2:$Q$52,2,FALSE)+VLOOKUP($A36,'Dairy State Manure Mgmt'!$M$2:$Q$52,5,FALSE)</f>
        <v>22</v>
      </c>
      <c r="AE36" s="146">
        <f t="shared" si="3"/>
        <v>0</v>
      </c>
      <c r="AF36" s="146">
        <f t="shared" si="4"/>
        <v>100</v>
      </c>
      <c r="AG36" s="147">
        <f t="shared" si="5"/>
        <v>1.2476938418000003</v>
      </c>
      <c r="AH36" s="144">
        <f t="shared" si="6"/>
        <v>0.30708907625433274</v>
      </c>
      <c r="AI36" s="34">
        <f t="shared" si="7"/>
        <v>1.1242000000000001</v>
      </c>
      <c r="AJ36" s="34">
        <f t="shared" si="8"/>
        <v>1.0764</v>
      </c>
      <c r="AK36" s="148">
        <f>(H36 * 0.26 * 0.01 ) +            (H36 * ( ((VLOOKUP(A36,'avg ann temp, manure EFs'!$B$1:$AA$55,22,FALSE)/100*N36/100)+(VLOOKUP(A36,'avg ann temp, manure EFs'!$B$1:$AA$55,23,FALSE)/100*O36/100)+(VLOOKUP(A36,'avg ann temp, manure EFs'!$B$1:$AA$55,19,FALSE)/100*P36/100)+(0.05*R36/100) )  * 0.0075 ))</f>
        <v>0.68499200000000005</v>
      </c>
      <c r="AL36" s="148">
        <f>(X36 * 0.43 * 0.01 ) +            (X36 * ( ((VLOOKUP(A36,'avg ann temp, manure EFs'!$B$1:$AA$55,22,FALSE)/100*Z36/100)+(VLOOKUP(A36,'avg ann temp, manure EFs'!$B$1:$AA$55,23,FALSE)/100*AA36/100)+(VLOOKUP(A36,'avg ann temp, manure EFs'!$B$1:$AA$55,19,FALSE)/100*AB36/100)+(0.05*AD36/100) )  * 0.0075 ))</f>
        <v>0.36293999999999998</v>
      </c>
      <c r="AM36" s="149">
        <f>(('Dairy Manure Inventory'!U36*'Dairy Manure Inventory'!C36)/1000/1000000)*28</f>
        <v>0.92830627832140789</v>
      </c>
      <c r="AN36" s="149">
        <f>(('Dairy Manure Inventory'!AH36*'Dairy Manure Inventory'!D36)/1000/1000000)*28 + (('Dairy Manure Inventory'!AG36*('Dairy Manure Inventory'!E36+'Dairy Manure Inventory'!F36) )/1000/1000000)*28</f>
        <v>5.2751201184433709E-3</v>
      </c>
      <c r="AO36" s="149">
        <f>(( ('Dairy Manure Inventory'!AI36+'Dairy Manure Inventory'!AK36) * 'Dairy Manure Inventory'!C36)/1000/1000000)*265</f>
        <v>0.12081784176</v>
      </c>
      <c r="AP36" s="150">
        <f>(( ('Dairy Manure Inventory'!AJ36+'Dairy Manure Inventory'!AL36) * ('Dairy Manure Inventory'!D36+'Dairy Manure Inventory'!E36+'Dairy Manure Inventory'!F36) /1000/1000000)*265)</f>
        <v>9.4974849900000005E-2</v>
      </c>
      <c r="AQ36" s="43">
        <f t="shared" si="9"/>
        <v>1.1493740900998513</v>
      </c>
    </row>
    <row r="37" spans="1:43" ht="15.75" customHeight="1">
      <c r="A37" s="110" t="s">
        <v>70</v>
      </c>
      <c r="B37" s="45" t="s">
        <v>147</v>
      </c>
      <c r="C37" s="131">
        <f>VLOOKUP(A37,'Dairy Animal Numbers, Mass, Mil'!$B$4:$H$51,2,FALSE)</f>
        <v>41000</v>
      </c>
      <c r="D37" s="125">
        <f>VLOOKUP($A37,'Dairy Animal Numbers, Mass, Mil'!$B$4:$F$52,3,FALSE)</f>
        <v>21000</v>
      </c>
      <c r="E37" s="125">
        <f>VLOOKUP($A37,'Dairy Animal Numbers, Mass, Mil'!$B$4:$F$52,4,FALSE)</f>
        <v>6000</v>
      </c>
      <c r="F37" s="125">
        <f>VLOOKUP($A37,'Dairy Animal Numbers, Mass, Mil'!$B$4:$F$52,5,FALSE)</f>
        <v>14000</v>
      </c>
      <c r="G37" s="142">
        <f>IF(B37="dairy cows",VLOOKUP(A37,'volatile solids and nex'!$B$4:$P$53,6,FALSE),0)</f>
        <v>2399</v>
      </c>
      <c r="H37" s="143">
        <f>IF(B37="dairy cows",VLOOKUP(A37,'volatile solids and nex'!$B$4:$P$53,14,FALSE),0)</f>
        <v>140</v>
      </c>
      <c r="I37" s="120">
        <v>0.24</v>
      </c>
      <c r="J37" s="33">
        <f>VLOOKUP(A37,'avg ann temp, manure EFs'!$B$3:$J$52,6,FALSE)</f>
        <v>1.5</v>
      </c>
      <c r="K37" s="33">
        <f>VLOOKUP(A37,'avg ann temp, manure EFs'!$B$3:$J$52,5,FALSE)</f>
        <v>38</v>
      </c>
      <c r="L37" s="33">
        <f>VLOOKUP(A37,'avg ann temp, manure EFs'!$B$3:$J$52,4,FALSE)</f>
        <v>76</v>
      </c>
      <c r="M37" s="33">
        <f>VLOOKUP(A37,'avg ann temp, manure EFs'!$B$3:$J$52,9,FALSE)</f>
        <v>50</v>
      </c>
      <c r="N37" s="33">
        <f>VLOOKUP(A37,'Dairy State Manure Mgmt'!$B$3:$I$52,4,FALSE)+VLOOKUP(A37,'Dairy State Manure Mgmt'!$B$3:$I$52,5,FALSE)</f>
        <v>49</v>
      </c>
      <c r="O37" s="33">
        <f>+VLOOKUP(A37,'Dairy State Manure Mgmt'!$B$3:$I$52,6,FALSE)+VLOOKUP(A37,'Dairy State Manure Mgmt'!$B$3:$I$52,8,FALSE)</f>
        <v>17</v>
      </c>
      <c r="P37" s="33">
        <f>+VLOOKUP(A37,'Dairy State Manure Mgmt'!$B$3:$I$52,7,FALSE)</f>
        <v>23</v>
      </c>
      <c r="Q37" s="33">
        <v>0</v>
      </c>
      <c r="R37" s="34">
        <f>VLOOKUP(A37,'Dairy State Manure Mgmt'!$B$3:$I$52,2,FALSE)+VLOOKUP(A37,'Dairy State Manure Mgmt'!$B$3:$I$52,3,FALSE)</f>
        <v>11</v>
      </c>
      <c r="S37" s="34">
        <f t="shared" si="0"/>
        <v>0</v>
      </c>
      <c r="T37" s="34">
        <f t="shared" si="1"/>
        <v>100</v>
      </c>
      <c r="U37" s="144">
        <f t="shared" si="10"/>
        <v>94.050049360000017</v>
      </c>
      <c r="V37" s="142">
        <f>(IF(B37="dairy cows",VLOOKUP(A37,'volatile solids and nex'!$B$4:$M$53,7,FALSE)) )</f>
        <v>1255</v>
      </c>
      <c r="W37" s="145">
        <f>IF(B37="dairy cows",VLOOKUP(A37,'volatile solids and nex'!$B$4:$M$54,5,FALSE)*('Dairy Animal Numbers, Mass, Mil'!$K$19/1000) ) * 365</f>
        <v>312.91044120000004</v>
      </c>
      <c r="X37" s="143">
        <f>IF(B37="dairy cows",VLOOKUP(A37,'volatile solids and nex'!$B$4:$P$53,15,FALSE),0)</f>
        <v>69</v>
      </c>
      <c r="Y37" s="33">
        <v>0.17</v>
      </c>
      <c r="Z37" s="34">
        <f>VLOOKUP($A37,'Dairy State Manure Mgmt'!$M$2:$Q$52,3,FALSE)</f>
        <v>94</v>
      </c>
      <c r="AA37" s="34">
        <f>VLOOKUP($A37,'Dairy State Manure Mgmt'!$M$2:$Q$52,4,FALSE)</f>
        <v>0</v>
      </c>
      <c r="AB37" s="34">
        <v>0</v>
      </c>
      <c r="AC37" s="34">
        <v>0</v>
      </c>
      <c r="AD37" s="34">
        <f>VLOOKUP($A37,'Dairy State Manure Mgmt'!$M$2:$Q$52,2,FALSE)+VLOOKUP($A37,'Dairy State Manure Mgmt'!$M$2:$Q$52,5,FALSE)</f>
        <v>6</v>
      </c>
      <c r="AE37" s="146">
        <f t="shared" si="3"/>
        <v>0</v>
      </c>
      <c r="AF37" s="146">
        <f t="shared" si="4"/>
        <v>100</v>
      </c>
      <c r="AG37" s="147">
        <f t="shared" si="5"/>
        <v>2.0312806014000002</v>
      </c>
      <c r="AH37" s="144">
        <f t="shared" si="6"/>
        <v>0.50646128221918363</v>
      </c>
      <c r="AI37" s="34">
        <f t="shared" si="7"/>
        <v>1.6519999999999999</v>
      </c>
      <c r="AJ37" s="34">
        <f t="shared" si="8"/>
        <v>1.2972000000000001</v>
      </c>
      <c r="AK37" s="148">
        <f>(H37 * 0.26 * 0.01 ) +            (H37 * ( ((VLOOKUP(A37,'avg ann temp, manure EFs'!$B$1:$AA$55,22,FALSE)/100*N37/100)+(VLOOKUP(A37,'avg ann temp, manure EFs'!$B$1:$AA$55,23,FALSE)/100*O37/100)+(VLOOKUP(A37,'avg ann temp, manure EFs'!$B$1:$AA$55,19,FALSE)/100*P37/100)+(0.05*R37/100) )  * 0.0075 ))</f>
        <v>0.59720499999999999</v>
      </c>
      <c r="AL37" s="148">
        <f>(X37 * 0.43 * 0.01 ) +            (X37 * ( ((VLOOKUP(A37,'avg ann temp, manure EFs'!$B$1:$AA$55,22,FALSE)/100*Z37/100)+(VLOOKUP(A37,'avg ann temp, manure EFs'!$B$1:$AA$55,23,FALSE)/100*AA37/100)+(VLOOKUP(A37,'avg ann temp, manure EFs'!$B$1:$AA$55,19,FALSE)/100*AB37/100)+(0.05*AD37/100) )  * 0.0075 ))</f>
        <v>0.37121999999999994</v>
      </c>
      <c r="AM37" s="149">
        <f>(('Dairy Manure Inventory'!U37*'Dairy Manure Inventory'!C37)/1000/1000000)*28</f>
        <v>0.10796945666528003</v>
      </c>
      <c r="AN37" s="149">
        <f>(('Dairy Manure Inventory'!AH37*'Dairy Manure Inventory'!D37)/1000/1000000)*28 + (('Dairy Manure Inventory'!AG37*('Dairy Manure Inventory'!E37+'Dairy Manure Inventory'!F37) )/1000/1000000)*28</f>
        <v>1.4353163707288802E-3</v>
      </c>
      <c r="AO37" s="149">
        <f>(( ('Dairy Manure Inventory'!AI37+'Dairy Manure Inventory'!AK37) * 'Dairy Manure Inventory'!C37)/1000/1000000)*265</f>
        <v>2.4437612325E-2</v>
      </c>
      <c r="AP37" s="150">
        <f>(( ('Dairy Manure Inventory'!AJ37+'Dairy Manure Inventory'!AL37) * ('Dairy Manure Inventory'!D37+'Dairy Manure Inventory'!E37+'Dairy Manure Inventory'!F37) /1000/1000000)*265)</f>
        <v>1.8127383299999997E-2</v>
      </c>
      <c r="AQ37" s="43">
        <f t="shared" si="9"/>
        <v>0.15196976866100892</v>
      </c>
    </row>
    <row r="38" spans="1:43" ht="15.75" customHeight="1">
      <c r="A38" s="110" t="s">
        <v>71</v>
      </c>
      <c r="B38" s="45" t="s">
        <v>147</v>
      </c>
      <c r="C38" s="131">
        <f>VLOOKUP(A38,'Dairy Animal Numbers, Mass, Mil'!$B$4:$H$51,2,FALSE)</f>
        <v>127000</v>
      </c>
      <c r="D38" s="125">
        <f>VLOOKUP($A38,'Dairy Animal Numbers, Mass, Mil'!$B$4:$F$52,3,FALSE)</f>
        <v>66000</v>
      </c>
      <c r="E38" s="125">
        <f>VLOOKUP($A38,'Dairy Animal Numbers, Mass, Mil'!$B$4:$F$52,4,FALSE)</f>
        <v>20000</v>
      </c>
      <c r="F38" s="125">
        <f>VLOOKUP($A38,'Dairy Animal Numbers, Mass, Mil'!$B$4:$F$52,5,FALSE)</f>
        <v>49000</v>
      </c>
      <c r="G38" s="142">
        <f>IF(B38="dairy cows",VLOOKUP(A38,'volatile solids and nex'!$B$4:$P$53,6,FALSE),0)</f>
        <v>2660</v>
      </c>
      <c r="H38" s="143">
        <f>IF(B38="dairy cows",VLOOKUP(A38,'volatile solids and nex'!$B$4:$P$53,14,FALSE),0)</f>
        <v>151</v>
      </c>
      <c r="I38" s="120">
        <v>0.24</v>
      </c>
      <c r="J38" s="33">
        <f>VLOOKUP(A38,'avg ann temp, manure EFs'!$B$3:$J$52,6,FALSE)</f>
        <v>1</v>
      </c>
      <c r="K38" s="33">
        <f>VLOOKUP(A38,'avg ann temp, manure EFs'!$B$3:$J$52,5,FALSE)</f>
        <v>22</v>
      </c>
      <c r="L38" s="33">
        <f>VLOOKUP(A38,'avg ann temp, manure EFs'!$B$3:$J$52,4,FALSE)</f>
        <v>61</v>
      </c>
      <c r="M38" s="33">
        <f>VLOOKUP(A38,'avg ann temp, manure EFs'!$B$3:$J$52,9,FALSE)</f>
        <v>50</v>
      </c>
      <c r="N38" s="33">
        <f>VLOOKUP(A38,'Dairy State Manure Mgmt'!$B$3:$I$52,4,FALSE)+VLOOKUP(A38,'Dairy State Manure Mgmt'!$B$3:$I$52,5,FALSE)</f>
        <v>27</v>
      </c>
      <c r="O38" s="33">
        <f>+VLOOKUP(A38,'Dairy State Manure Mgmt'!$B$3:$I$52,6,FALSE)+VLOOKUP(A38,'Dairy State Manure Mgmt'!$B$3:$I$52,8,FALSE)</f>
        <v>15</v>
      </c>
      <c r="P38" s="33">
        <f>+VLOOKUP(A38,'Dairy State Manure Mgmt'!$B$3:$I$52,7,FALSE)</f>
        <v>50</v>
      </c>
      <c r="Q38" s="33">
        <v>0</v>
      </c>
      <c r="R38" s="34">
        <f>VLOOKUP(A38,'Dairy State Manure Mgmt'!$B$3:$I$52,2,FALSE)+VLOOKUP(A38,'Dairy State Manure Mgmt'!$B$3:$I$52,3,FALSE)</f>
        <v>9</v>
      </c>
      <c r="S38" s="34">
        <f t="shared" si="0"/>
        <v>-1</v>
      </c>
      <c r="T38" s="34">
        <f t="shared" si="1"/>
        <v>101</v>
      </c>
      <c r="U38" s="144">
        <f t="shared" si="10"/>
        <v>143.98732956000001</v>
      </c>
      <c r="V38" s="142">
        <f>(IF(B38="dairy cows",VLOOKUP(A38,'volatile solids and nex'!$B$4:$M$53,7,FALSE)) )</f>
        <v>1255</v>
      </c>
      <c r="W38" s="145">
        <f>IF(B38="dairy cows",VLOOKUP(A38,'volatile solids and nex'!$B$4:$M$54,5,FALSE)*('Dairy Animal Numbers, Mass, Mil'!$K$19/1000) ) * 365</f>
        <v>403.20745423200003</v>
      </c>
      <c r="X38" s="143">
        <f>IF(B38="dairy cows",VLOOKUP(A38,'volatile solids and nex'!$B$4:$P$53,15,FALSE),0)</f>
        <v>69</v>
      </c>
      <c r="Y38" s="33">
        <v>0.17</v>
      </c>
      <c r="Z38" s="34">
        <f>VLOOKUP($A38,'Dairy State Manure Mgmt'!$M$2:$Q$52,3,FALSE)</f>
        <v>80</v>
      </c>
      <c r="AA38" s="34">
        <f>VLOOKUP($A38,'Dairy State Manure Mgmt'!$M$2:$Q$52,4,FALSE)</f>
        <v>1</v>
      </c>
      <c r="AB38" s="34">
        <v>0</v>
      </c>
      <c r="AC38" s="34">
        <v>0</v>
      </c>
      <c r="AD38" s="34">
        <f>VLOOKUP($A38,'Dairy State Manure Mgmt'!$M$2:$Q$52,2,FALSE)+VLOOKUP($A38,'Dairy State Manure Mgmt'!$M$2:$Q$52,5,FALSE)</f>
        <v>20</v>
      </c>
      <c r="AE38" s="146">
        <f t="shared" si="3"/>
        <v>-1</v>
      </c>
      <c r="AF38" s="146">
        <f t="shared" si="4"/>
        <v>101</v>
      </c>
      <c r="AG38" s="147">
        <f t="shared" si="5"/>
        <v>1.5733879780000002</v>
      </c>
      <c r="AH38" s="144">
        <f t="shared" si="6"/>
        <v>0.50549941125785991</v>
      </c>
      <c r="AI38" s="34">
        <f t="shared" si="7"/>
        <v>1.3061499999999999</v>
      </c>
      <c r="AJ38" s="34">
        <f t="shared" si="8"/>
        <v>1.10745</v>
      </c>
      <c r="AK38" s="148">
        <f>(H38 * 0.26 * 0.01 ) +            (H38 * ( ((VLOOKUP(A38,'avg ann temp, manure EFs'!$B$1:$AA$55,22,FALSE)/100*N38/100)+(VLOOKUP(A38,'avg ann temp, manure EFs'!$B$1:$AA$55,23,FALSE)/100*O38/100)+(VLOOKUP(A38,'avg ann temp, manure EFs'!$B$1:$AA$55,19,FALSE)/100*P38/100)+(0.05*R38/100) )  * 0.0075 ))</f>
        <v>0.73121749999999996</v>
      </c>
      <c r="AL38" s="148">
        <f>(X38 * 0.43 * 0.01 ) +            (X38 * ( ((VLOOKUP(A38,'avg ann temp, manure EFs'!$B$1:$AA$55,22,FALSE)/100*Z38/100)+(VLOOKUP(A38,'avg ann temp, manure EFs'!$B$1:$AA$55,23,FALSE)/100*AA38/100)+(VLOOKUP(A38,'avg ann temp, manure EFs'!$B$1:$AA$55,19,FALSE)/100*AB38/100)+(0.05*AD38/100) )  * 0.0075 ))</f>
        <v>0.36532049999999994</v>
      </c>
      <c r="AM38" s="149">
        <f>(('Dairy Manure Inventory'!U38*'Dairy Manure Inventory'!C38)/1000/1000000)*28</f>
        <v>0.51201894391535996</v>
      </c>
      <c r="AN38" s="149">
        <f>(('Dairy Manure Inventory'!AH38*'Dairy Manure Inventory'!D38)/1000/1000000)*28 + (('Dairy Manure Inventory'!AG38*('Dairy Manure Inventory'!E38+'Dairy Manure Inventory'!F38) )/1000/1000000)*28</f>
        <v>3.9739484855005258E-3</v>
      </c>
      <c r="AO38" s="149">
        <f>(( ('Dairy Manure Inventory'!AI38+'Dairy Manure Inventory'!AK38) * 'Dairy Manure Inventory'!C38)/1000/1000000)*265</f>
        <v>6.8567603212500008E-2</v>
      </c>
      <c r="AP38" s="150">
        <f>(( ('Dairy Manure Inventory'!AJ38+'Dairy Manure Inventory'!AL38) * ('Dairy Manure Inventory'!D38+'Dairy Manure Inventory'!E38+'Dairy Manure Inventory'!F38) /1000/1000000)*265)</f>
        <v>5.2688364637499999E-2</v>
      </c>
      <c r="AQ38" s="43">
        <f t="shared" si="9"/>
        <v>0.63724886025086047</v>
      </c>
    </row>
    <row r="39" spans="1:43" ht="15.75" customHeight="1">
      <c r="A39" s="110" t="s">
        <v>72</v>
      </c>
      <c r="B39" s="45" t="s">
        <v>147</v>
      </c>
      <c r="C39" s="131">
        <f>VLOOKUP(A39,'Dairy Animal Numbers, Mass, Mil'!$B$4:$H$51,2,FALSE)</f>
        <v>480000</v>
      </c>
      <c r="D39" s="125">
        <f>VLOOKUP($A39,'Dairy Animal Numbers, Mass, Mil'!$B$4:$F$52,3,FALSE)</f>
        <v>248000</v>
      </c>
      <c r="E39" s="125">
        <f>VLOOKUP($A39,'Dairy Animal Numbers, Mass, Mil'!$B$4:$F$52,4,FALSE)</f>
        <v>80000</v>
      </c>
      <c r="F39" s="125">
        <f>VLOOKUP($A39,'Dairy Animal Numbers, Mass, Mil'!$B$4:$F$52,5,FALSE)</f>
        <v>192000</v>
      </c>
      <c r="G39" s="142">
        <f>IF(B39="dairy cows",VLOOKUP(A39,'volatile solids and nex'!$B$4:$P$53,6,FALSE),0)</f>
        <v>2682</v>
      </c>
      <c r="H39" s="143">
        <f>IF(B39="dairy cows",VLOOKUP(A39,'volatile solids and nex'!$B$4:$P$53,14,FALSE),0)</f>
        <v>152</v>
      </c>
      <c r="I39" s="120">
        <v>0.24</v>
      </c>
      <c r="J39" s="33">
        <f>VLOOKUP(A39,'avg ann temp, manure EFs'!$B$3:$J$52,6,FALSE)</f>
        <v>1</v>
      </c>
      <c r="K39" s="33">
        <f>VLOOKUP(A39,'avg ann temp, manure EFs'!$B$3:$J$52,5,FALSE)</f>
        <v>27</v>
      </c>
      <c r="L39" s="33">
        <f>VLOOKUP(A39,'avg ann temp, manure EFs'!$B$3:$J$52,4,FALSE)</f>
        <v>71</v>
      </c>
      <c r="M39" s="33">
        <f>VLOOKUP(A39,'avg ann temp, manure EFs'!$B$3:$J$52,9,FALSE)</f>
        <v>50</v>
      </c>
      <c r="N39" s="33">
        <f>VLOOKUP(A39,'Dairy State Manure Mgmt'!$B$3:$I$52,4,FALSE)+VLOOKUP(A39,'Dairy State Manure Mgmt'!$B$3:$I$52,5,FALSE)</f>
        <v>16</v>
      </c>
      <c r="O39" s="33">
        <f>+VLOOKUP(A39,'Dairy State Manure Mgmt'!$B$3:$I$52,6,FALSE)+VLOOKUP(A39,'Dairy State Manure Mgmt'!$B$3:$I$52,8,FALSE)</f>
        <v>34</v>
      </c>
      <c r="P39" s="33">
        <f>+VLOOKUP(A39,'Dairy State Manure Mgmt'!$B$3:$I$52,7,FALSE)</f>
        <v>18</v>
      </c>
      <c r="Q39" s="33">
        <v>0</v>
      </c>
      <c r="R39" s="34">
        <f>VLOOKUP(A39,'Dairy State Manure Mgmt'!$B$3:$I$52,2,FALSE)+VLOOKUP(A39,'Dairy State Manure Mgmt'!$B$3:$I$52,3,FALSE)</f>
        <v>33</v>
      </c>
      <c r="S39" s="34">
        <f t="shared" si="0"/>
        <v>-1</v>
      </c>
      <c r="T39" s="34">
        <f t="shared" si="1"/>
        <v>101</v>
      </c>
      <c r="U39" s="144">
        <f t="shared" si="10"/>
        <v>94.258445592000015</v>
      </c>
      <c r="V39" s="142">
        <f>(IF(B39="dairy cows",VLOOKUP(A39,'volatile solids and nex'!$B$4:$M$53,7,FALSE)) )</f>
        <v>1255</v>
      </c>
      <c r="W39" s="145">
        <f>IF(B39="dairy cows",VLOOKUP(A39,'volatile solids and nex'!$B$4:$M$54,5,FALSE)*('Dairy Animal Numbers, Mass, Mil'!$K$19/1000) ) * 365</f>
        <v>308.44029204000003</v>
      </c>
      <c r="X39" s="143">
        <f>IF(B39="dairy cows",VLOOKUP(A39,'volatile solids and nex'!$B$4:$P$53,15,FALSE),0)</f>
        <v>69</v>
      </c>
      <c r="Y39" s="33">
        <v>0.17</v>
      </c>
      <c r="Z39" s="34">
        <f>VLOOKUP($A39,'Dairy State Manure Mgmt'!$M$2:$Q$52,3,FALSE)</f>
        <v>44</v>
      </c>
      <c r="AA39" s="34">
        <f>VLOOKUP($A39,'Dairy State Manure Mgmt'!$M$2:$Q$52,4,FALSE)</f>
        <v>0</v>
      </c>
      <c r="AB39" s="34">
        <v>0</v>
      </c>
      <c r="AC39" s="34">
        <v>0</v>
      </c>
      <c r="AD39" s="34">
        <f>VLOOKUP($A39,'Dairy State Manure Mgmt'!$M$2:$Q$52,2,FALSE)+VLOOKUP($A39,'Dairy State Manure Mgmt'!$M$2:$Q$52,5,FALSE)</f>
        <v>56</v>
      </c>
      <c r="AE39" s="146">
        <f t="shared" si="3"/>
        <v>0</v>
      </c>
      <c r="AF39" s="146">
        <f t="shared" si="4"/>
        <v>100</v>
      </c>
      <c r="AG39" s="147">
        <f t="shared" si="5"/>
        <v>0.99318350640000008</v>
      </c>
      <c r="AH39" s="144">
        <f t="shared" si="6"/>
        <v>0.24409387311818909</v>
      </c>
      <c r="AI39" s="34">
        <f t="shared" si="7"/>
        <v>0.88159999999999994</v>
      </c>
      <c r="AJ39" s="34">
        <f t="shared" si="8"/>
        <v>0.60720000000000007</v>
      </c>
      <c r="AK39" s="148">
        <f>(H39 * 0.26 * 0.01 ) +            (H39 * ( ((VLOOKUP(A39,'avg ann temp, manure EFs'!$B$1:$AA$55,22,FALSE)/100*N39/100)+(VLOOKUP(A39,'avg ann temp, manure EFs'!$B$1:$AA$55,23,FALSE)/100*O39/100)+(VLOOKUP(A39,'avg ann temp, manure EFs'!$B$1:$AA$55,19,FALSE)/100*P39/100)+(0.05*R39/100) )  * 0.0075 ))</f>
        <v>0.630382</v>
      </c>
      <c r="AL39" s="148">
        <f>(X39 * 0.43 * 0.01 ) +            (X39 * ( ((VLOOKUP(A39,'avg ann temp, manure EFs'!$B$1:$AA$55,22,FALSE)/100*Z39/100)+(VLOOKUP(A39,'avg ann temp, manure EFs'!$B$1:$AA$55,23,FALSE)/100*AA39/100)+(VLOOKUP(A39,'avg ann temp, manure EFs'!$B$1:$AA$55,19,FALSE)/100*AB39/100)+(0.05*AD39/100) )  * 0.0075 ))</f>
        <v>0.34534499999999996</v>
      </c>
      <c r="AM39" s="149">
        <f>(('Dairy Manure Inventory'!U39*'Dairy Manure Inventory'!C39)/1000/1000000)*28</f>
        <v>1.2668335087564802</v>
      </c>
      <c r="AN39" s="149">
        <f>(('Dairy Manure Inventory'!AH39*'Dairy Manure Inventory'!D39)/1000/1000000)*28 + (('Dairy Manure Inventory'!AG39*('Dairy Manure Inventory'!E39+'Dairy Manure Inventory'!F39) )/1000/1000000)*28</f>
        <v>9.259073439675105E-3</v>
      </c>
      <c r="AO39" s="149">
        <f>(( ('Dairy Manure Inventory'!AI39+'Dairy Manure Inventory'!AK39) * 'Dairy Manure Inventory'!C39)/1000/1000000)*265</f>
        <v>0.19232411039999997</v>
      </c>
      <c r="AP39" s="150">
        <f>(( ('Dairy Manure Inventory'!AJ39+'Dairy Manure Inventory'!AL39) * ('Dairy Manure Inventory'!D39+'Dairy Manure Inventory'!E39+'Dairy Manure Inventory'!F39) /1000/1000000)*265)</f>
        <v>0.13126070100000001</v>
      </c>
      <c r="AQ39" s="43">
        <f t="shared" si="9"/>
        <v>1.5996773935961552</v>
      </c>
    </row>
    <row r="40" spans="1:43" ht="15.75" customHeight="1">
      <c r="A40" s="110" t="s">
        <v>73</v>
      </c>
      <c r="B40" s="45" t="s">
        <v>147</v>
      </c>
      <c r="C40" s="45">
        <f>VLOOKUP(A40,'Dairy Animal Numbers, Mass, Mil'!$B$4:$H$51,2,FALSE)</f>
        <v>500</v>
      </c>
      <c r="D40" s="125">
        <f>VLOOKUP($A40,'Dairy Animal Numbers, Mass, Mil'!$B$4:$F$52,3,FALSE)</f>
        <v>0</v>
      </c>
      <c r="E40" s="125">
        <f>VLOOKUP($A40,'Dairy Animal Numbers, Mass, Mil'!$B$4:$F$52,4,FALSE)</f>
        <v>0</v>
      </c>
      <c r="F40" s="125">
        <f>VLOOKUP($A40,'Dairy Animal Numbers, Mass, Mil'!$B$4:$F$52,5,FALSE)</f>
        <v>0</v>
      </c>
      <c r="G40" s="142">
        <f>IF(B40="dairy cows",VLOOKUP(A40,'volatile solids and nex'!$B$4:$P$53,6,FALSE),0)</f>
        <v>2717</v>
      </c>
      <c r="H40" s="143">
        <f>IF(B40="dairy cows",VLOOKUP(A40,'volatile solids and nex'!$B$4:$P$53,14,FALSE),0)</f>
        <v>153</v>
      </c>
      <c r="I40" s="120">
        <v>0.24</v>
      </c>
      <c r="J40" s="33">
        <f>VLOOKUP(A40,'avg ann temp, manure EFs'!$B$3:$J$52,6,FALSE)</f>
        <v>1</v>
      </c>
      <c r="K40" s="33">
        <f>VLOOKUP(A40,'avg ann temp, manure EFs'!$B$3:$J$52,5,FALSE)</f>
        <v>27</v>
      </c>
      <c r="L40" s="33">
        <f>VLOOKUP(A40,'avg ann temp, manure EFs'!$B$3:$J$52,4,FALSE)</f>
        <v>71</v>
      </c>
      <c r="M40" s="33">
        <f>VLOOKUP(A40,'avg ann temp, manure EFs'!$B$3:$J$52,9,FALSE)</f>
        <v>50</v>
      </c>
      <c r="N40" s="33">
        <f>VLOOKUP(A40,'Dairy State Manure Mgmt'!$B$3:$I$52,4,FALSE)+VLOOKUP(A40,'Dairy State Manure Mgmt'!$B$3:$I$52,5,FALSE)</f>
        <v>17</v>
      </c>
      <c r="O40" s="33">
        <f>+VLOOKUP(A40,'Dairy State Manure Mgmt'!$B$3:$I$52,6,FALSE)+VLOOKUP(A40,'Dairy State Manure Mgmt'!$B$3:$I$52,8,FALSE)</f>
        <v>35</v>
      </c>
      <c r="P40" s="33">
        <f>+VLOOKUP(A40,'Dairy State Manure Mgmt'!$B$3:$I$52,7,FALSE)</f>
        <v>14</v>
      </c>
      <c r="Q40" s="33">
        <v>0</v>
      </c>
      <c r="R40" s="34">
        <f>VLOOKUP(A40,'Dairy State Manure Mgmt'!$B$3:$I$52,2,FALSE)+VLOOKUP(A40,'Dairy State Manure Mgmt'!$B$3:$I$52,3,FALSE)</f>
        <v>35</v>
      </c>
      <c r="S40" s="34">
        <f t="shared" si="0"/>
        <v>-1</v>
      </c>
      <c r="T40" s="34">
        <f t="shared" si="1"/>
        <v>101</v>
      </c>
      <c r="U40" s="144">
        <f t="shared" si="10"/>
        <v>84.437658376000002</v>
      </c>
      <c r="V40" s="142">
        <f>(IF(B40="dairy cows",VLOOKUP(A40,'volatile solids and nex'!$B$4:$M$53,7,FALSE)) )</f>
        <v>1255</v>
      </c>
      <c r="W40" s="145">
        <f>IF(B40="dairy cows",VLOOKUP(A40,'volatile solids and nex'!$B$4:$M$54,5,FALSE)*('Dairy Animal Numbers, Mass, Mil'!$K$19/1000) ) * 365</f>
        <v>308.44029204000003</v>
      </c>
      <c r="X40" s="143">
        <f>IF(B40="dairy cows",VLOOKUP(A40,'volatile solids and nex'!$B$4:$P$53,15,FALSE),0)</f>
        <v>69</v>
      </c>
      <c r="Y40" s="33">
        <v>0.17</v>
      </c>
      <c r="Z40" s="34">
        <f>VLOOKUP($A40,'Dairy State Manure Mgmt'!$M$2:$Q$52,3,FALSE)</f>
        <v>44</v>
      </c>
      <c r="AA40" s="34">
        <f>VLOOKUP($A40,'Dairy State Manure Mgmt'!$M$2:$Q$52,4,FALSE)</f>
        <v>0</v>
      </c>
      <c r="AB40" s="34">
        <v>0</v>
      </c>
      <c r="AC40" s="34">
        <v>0</v>
      </c>
      <c r="AD40" s="34">
        <f>VLOOKUP($A40,'Dairy State Manure Mgmt'!$M$2:$Q$52,2,FALSE)+VLOOKUP($A40,'Dairy State Manure Mgmt'!$M$2:$Q$52,5,FALSE)</f>
        <v>56</v>
      </c>
      <c r="AE40" s="146">
        <f t="shared" si="3"/>
        <v>0</v>
      </c>
      <c r="AF40" s="146">
        <f t="shared" si="4"/>
        <v>100</v>
      </c>
      <c r="AG40" s="147">
        <f t="shared" si="5"/>
        <v>0.99318350640000008</v>
      </c>
      <c r="AH40" s="144">
        <f t="shared" si="6"/>
        <v>0.24409387311818909</v>
      </c>
      <c r="AI40" s="34">
        <f t="shared" si="7"/>
        <v>0.89505000000000001</v>
      </c>
      <c r="AJ40" s="34">
        <f t="shared" si="8"/>
        <v>0.60720000000000007</v>
      </c>
      <c r="AK40" s="148">
        <f>(H40 * 0.26 * 0.01 ) +            (H40 * ( ((VLOOKUP(A40,'avg ann temp, manure EFs'!$B$1:$AA$55,22,FALSE)/100*N40/100)+(VLOOKUP(A40,'avg ann temp, manure EFs'!$B$1:$AA$55,23,FALSE)/100*O40/100)+(VLOOKUP(A40,'avg ann temp, manure EFs'!$B$1:$AA$55,19,FALSE)/100*P40/100)+(0.05*R40/100) )  * 0.0075 ))</f>
        <v>0.62064450000000004</v>
      </c>
      <c r="AL40" s="148">
        <f>(X40 * 0.43 * 0.01 ) +            (X40 * ( ((VLOOKUP(A40,'avg ann temp, manure EFs'!$B$1:$AA$55,22,FALSE)/100*Z40/100)+(VLOOKUP(A40,'avg ann temp, manure EFs'!$B$1:$AA$55,23,FALSE)/100*AA40/100)+(VLOOKUP(A40,'avg ann temp, manure EFs'!$B$1:$AA$55,19,FALSE)/100*AB40/100)+(0.05*AD40/100) )  * 0.0075 ))</f>
        <v>0.34534499999999996</v>
      </c>
      <c r="AM40" s="149">
        <f>(('Dairy Manure Inventory'!U40*'Dairy Manure Inventory'!C40)/1000/1000000)*28</f>
        <v>1.182127217264E-3</v>
      </c>
      <c r="AN40" s="149">
        <f>(('Dairy Manure Inventory'!AH40*'Dairy Manure Inventory'!D40)/1000/1000000)*28 + (('Dairy Manure Inventory'!AG40*('Dairy Manure Inventory'!E40+'Dairy Manure Inventory'!F40) )/1000/1000000)*28</f>
        <v>0</v>
      </c>
      <c r="AO40" s="149">
        <f>(( ('Dairy Manure Inventory'!AI40+'Dairy Manure Inventory'!AK40) * 'Dairy Manure Inventory'!C40)/1000/1000000)*265</f>
        <v>2.0082952124999997E-4</v>
      </c>
      <c r="AP40" s="150">
        <f>(( ('Dairy Manure Inventory'!AJ40+'Dairy Manure Inventory'!AL40) * ('Dairy Manure Inventory'!D40+'Dairy Manure Inventory'!E40+'Dairy Manure Inventory'!F40) /1000/1000000)*265)</f>
        <v>0</v>
      </c>
      <c r="AQ40" s="43">
        <f t="shared" si="9"/>
        <v>1.382956738514E-3</v>
      </c>
    </row>
    <row r="41" spans="1:43" ht="15.75" customHeight="1">
      <c r="A41" s="110" t="s">
        <v>74</v>
      </c>
      <c r="B41" s="45" t="s">
        <v>147</v>
      </c>
      <c r="C41" s="45">
        <v>11000</v>
      </c>
      <c r="D41" s="125">
        <f>VLOOKUP($A41,'Dairy Animal Numbers, Mass, Mil'!$B$4:$F$52,3,FALSE)</f>
        <v>6000</v>
      </c>
      <c r="E41" s="125">
        <f>VLOOKUP($A41,'Dairy Animal Numbers, Mass, Mil'!$B$4:$F$52,4,FALSE)</f>
        <v>1000</v>
      </c>
      <c r="F41" s="125">
        <f>VLOOKUP($A41,'Dairy Animal Numbers, Mass, Mil'!$B$4:$F$52,5,FALSE)</f>
        <v>3000</v>
      </c>
      <c r="G41" s="142">
        <f>IF(B41="dairy cows",VLOOKUP(A41,'volatile solids and nex'!$B$4:$P$53,6,FALSE),0)</f>
        <v>2557</v>
      </c>
      <c r="H41" s="143">
        <f>IF(B41="dairy cows",VLOOKUP(A41,'volatile solids and nex'!$B$4:$P$53,14,FALSE),0)</f>
        <v>148</v>
      </c>
      <c r="I41" s="120">
        <v>0.24</v>
      </c>
      <c r="J41" s="33">
        <f>VLOOKUP(A41,'avg ann temp, manure EFs'!$B$3:$J$52,6,FALSE)</f>
        <v>1.5</v>
      </c>
      <c r="K41" s="33">
        <f>VLOOKUP(A41,'avg ann temp, manure EFs'!$B$3:$J$52,5,FALSE)</f>
        <v>41</v>
      </c>
      <c r="L41" s="33">
        <f>VLOOKUP(A41,'avg ann temp, manure EFs'!$B$3:$J$52,4,FALSE)</f>
        <v>76</v>
      </c>
      <c r="M41" s="33">
        <f>VLOOKUP(A41,'avg ann temp, manure EFs'!$B$3:$J$52,9,FALSE)</f>
        <v>50</v>
      </c>
      <c r="N41" s="33">
        <f>VLOOKUP(A41,'Dairy State Manure Mgmt'!$B$3:$I$52,4,FALSE)+VLOOKUP(A41,'Dairy State Manure Mgmt'!$B$3:$I$52,5,FALSE)</f>
        <v>10</v>
      </c>
      <c r="O41" s="33">
        <f>+VLOOKUP(A41,'Dairy State Manure Mgmt'!$B$3:$I$52,6,FALSE)+VLOOKUP(A41,'Dairy State Manure Mgmt'!$B$3:$I$52,8,FALSE)</f>
        <v>13</v>
      </c>
      <c r="P41" s="33">
        <f>+VLOOKUP(A41,'Dairy State Manure Mgmt'!$B$3:$I$52,7,FALSE)</f>
        <v>33</v>
      </c>
      <c r="Q41" s="33">
        <v>0</v>
      </c>
      <c r="R41" s="34">
        <f>VLOOKUP(A41,'Dairy State Manure Mgmt'!$B$3:$I$52,2,FALSE)+VLOOKUP(A41,'Dairy State Manure Mgmt'!$B$3:$I$52,3,FALSE)</f>
        <v>45</v>
      </c>
      <c r="S41" s="34">
        <f t="shared" si="0"/>
        <v>-1</v>
      </c>
      <c r="T41" s="34">
        <f t="shared" si="1"/>
        <v>101</v>
      </c>
      <c r="U41" s="144">
        <f t="shared" si="10"/>
        <v>124.15399749600003</v>
      </c>
      <c r="V41" s="142">
        <f>(IF(B41="dairy cows",VLOOKUP(A41,'volatile solids and nex'!$B$4:$M$53,7,FALSE)) )</f>
        <v>1255</v>
      </c>
      <c r="W41" s="145">
        <f>IF(B41="dairy cows",VLOOKUP(A41,'volatile solids and nex'!$B$4:$M$54,5,FALSE)*('Dairy Animal Numbers, Mass, Mil'!$K$19/1000) ) * 365</f>
        <v>313.80447103200004</v>
      </c>
      <c r="X41" s="143">
        <f>IF(B41="dairy cows",VLOOKUP(A41,'volatile solids and nex'!$B$4:$P$53,15,FALSE),0)</f>
        <v>69</v>
      </c>
      <c r="Y41" s="33">
        <v>0.17</v>
      </c>
      <c r="Z41" s="34">
        <f>VLOOKUP($A41,'Dairy State Manure Mgmt'!$M$2:$Q$52,3,FALSE)</f>
        <v>31</v>
      </c>
      <c r="AA41" s="34">
        <f>VLOOKUP($A41,'Dairy State Manure Mgmt'!$M$2:$Q$52,4,FALSE)</f>
        <v>0</v>
      </c>
      <c r="AB41" s="34">
        <v>0</v>
      </c>
      <c r="AC41" s="34">
        <v>0</v>
      </c>
      <c r="AD41" s="34">
        <f>VLOOKUP($A41,'Dairy State Manure Mgmt'!$M$2:$Q$52,2,FALSE)+VLOOKUP($A41,'Dairy State Manure Mgmt'!$M$2:$Q$52,5,FALSE)</f>
        <v>69</v>
      </c>
      <c r="AE41" s="146">
        <f t="shared" si="3"/>
        <v>0</v>
      </c>
      <c r="AF41" s="146">
        <f t="shared" si="4"/>
        <v>100</v>
      </c>
      <c r="AG41" s="147">
        <f t="shared" si="5"/>
        <v>1.1147891661</v>
      </c>
      <c r="AH41" s="144">
        <f t="shared" si="6"/>
        <v>0.27874567695634661</v>
      </c>
      <c r="AI41" s="34">
        <f t="shared" si="7"/>
        <v>0.63639999999999997</v>
      </c>
      <c r="AJ41" s="34">
        <f t="shared" si="8"/>
        <v>0.42779999999999996</v>
      </c>
      <c r="AK41" s="148">
        <f>(H41 * 0.26 * 0.01 ) +            (H41 * ( ((VLOOKUP(A41,'avg ann temp, manure EFs'!$B$1:$AA$55,22,FALSE)/100*N41/100)+(VLOOKUP(A41,'avg ann temp, manure EFs'!$B$1:$AA$55,23,FALSE)/100*O41/100)+(VLOOKUP(A41,'avg ann temp, manure EFs'!$B$1:$AA$55,19,FALSE)/100*P41/100)+(0.05*R41/100) )  * 0.0075 ))</f>
        <v>0.621452</v>
      </c>
      <c r="AL41" s="148">
        <f>(X41 * 0.43 * 0.01 ) +            (X41 * ( ((VLOOKUP(A41,'avg ann temp, manure EFs'!$B$1:$AA$55,22,FALSE)/100*Z41/100)+(VLOOKUP(A41,'avg ann temp, manure EFs'!$B$1:$AA$55,23,FALSE)/100*AA41/100)+(VLOOKUP(A41,'avg ann temp, manure EFs'!$B$1:$AA$55,19,FALSE)/100*AB41/100)+(0.05*AD41/100) )  * 0.0075 ))</f>
        <v>0.33861749999999996</v>
      </c>
      <c r="AM41" s="149">
        <f>(('Dairy Manure Inventory'!U41*'Dairy Manure Inventory'!C41)/1000/1000000)*28</f>
        <v>3.8239431228768002E-2</v>
      </c>
      <c r="AN41" s="149">
        <f>(('Dairy Manure Inventory'!AH41*'Dairy Manure Inventory'!D41)/1000/1000000)*28 + (('Dairy Manure Inventory'!AG41*('Dairy Manure Inventory'!E41+'Dairy Manure Inventory'!F41) )/1000/1000000)*28</f>
        <v>1.7168566033186623E-4</v>
      </c>
      <c r="AO41" s="149">
        <f>(( ('Dairy Manure Inventory'!AI41+'Dairy Manure Inventory'!AK41) * 'Dairy Manure Inventory'!C41)/1000/1000000)*265</f>
        <v>3.6666385799999997E-3</v>
      </c>
      <c r="AP41" s="150">
        <f>(( ('Dairy Manure Inventory'!AJ41+'Dairy Manure Inventory'!AL41) * ('Dairy Manure Inventory'!D41+'Dairy Manure Inventory'!E41+'Dairy Manure Inventory'!F41) /1000/1000000)*265)</f>
        <v>2.0310063749999999E-3</v>
      </c>
      <c r="AQ41" s="43">
        <f t="shared" si="9"/>
        <v>4.4108761844099863E-2</v>
      </c>
    </row>
    <row r="42" spans="1:43" ht="15.75" customHeight="1">
      <c r="A42" s="110" t="s">
        <v>75</v>
      </c>
      <c r="B42" s="45" t="s">
        <v>147</v>
      </c>
      <c r="C42" s="45">
        <v>127000</v>
      </c>
      <c r="D42" s="125">
        <f>VLOOKUP($A42,'Dairy Animal Numbers, Mass, Mil'!$B$4:$F$52,3,FALSE)</f>
        <v>66000</v>
      </c>
      <c r="E42" s="125">
        <f>VLOOKUP($A42,'Dairy Animal Numbers, Mass, Mil'!$B$4:$F$52,4,FALSE)</f>
        <v>13000</v>
      </c>
      <c r="F42" s="125">
        <f>VLOOKUP($A42,'Dairy Animal Numbers, Mass, Mil'!$B$4:$F$52,5,FALSE)</f>
        <v>31000</v>
      </c>
      <c r="G42" s="142">
        <f>IF(B42="dairy cows",VLOOKUP(A42,'volatile solids and nex'!$B$4:$P$53,6,FALSE),0)</f>
        <v>2815</v>
      </c>
      <c r="H42" s="143">
        <f>IF(B42="dairy cows",VLOOKUP(A42,'volatile solids and nex'!$B$4:$P$53,14,FALSE),0)</f>
        <v>157</v>
      </c>
      <c r="I42" s="120">
        <v>0.24</v>
      </c>
      <c r="J42" s="33">
        <f>VLOOKUP(A42,'avg ann temp, manure EFs'!$B$3:$J$52,6,FALSE)</f>
        <v>1</v>
      </c>
      <c r="K42" s="33">
        <f>VLOOKUP(A42,'avg ann temp, manure EFs'!$B$3:$J$52,5,FALSE)</f>
        <v>25</v>
      </c>
      <c r="L42" s="33">
        <f>VLOOKUP(A42,'avg ann temp, manure EFs'!$B$3:$J$52,4,FALSE)</f>
        <v>69</v>
      </c>
      <c r="M42" s="33">
        <f>VLOOKUP(A42,'avg ann temp, manure EFs'!$B$3:$J$52,9,FALSE)</f>
        <v>50</v>
      </c>
      <c r="N42" s="33">
        <f>VLOOKUP(A42,'Dairy State Manure Mgmt'!$B$3:$I$52,4,FALSE)+VLOOKUP(A42,'Dairy State Manure Mgmt'!$B$3:$I$52,5,FALSE)</f>
        <v>16</v>
      </c>
      <c r="O42" s="33">
        <f>+VLOOKUP(A42,'Dairy State Manure Mgmt'!$B$3:$I$52,6,FALSE)+VLOOKUP(A42,'Dairy State Manure Mgmt'!$B$3:$I$52,8,FALSE)</f>
        <v>16</v>
      </c>
      <c r="P42" s="33">
        <f>+VLOOKUP(A42,'Dairy State Manure Mgmt'!$B$3:$I$52,7,FALSE)</f>
        <v>54</v>
      </c>
      <c r="Q42" s="33">
        <v>0</v>
      </c>
      <c r="R42" s="34">
        <f>VLOOKUP(A42,'Dairy State Manure Mgmt'!$B$3:$I$52,2,FALSE)+VLOOKUP(A42,'Dairy State Manure Mgmt'!$B$3:$I$52,3,FALSE)</f>
        <v>14</v>
      </c>
      <c r="S42" s="34">
        <f t="shared" si="0"/>
        <v>0</v>
      </c>
      <c r="T42" s="34">
        <f t="shared" si="1"/>
        <v>100</v>
      </c>
      <c r="U42" s="144">
        <f t="shared" si="10"/>
        <v>185.25044824</v>
      </c>
      <c r="V42" s="142">
        <f>(IF(B42="dairy cows",VLOOKUP(A42,'volatile solids and nex'!$B$4:$M$53,7,FALSE)) )</f>
        <v>1255</v>
      </c>
      <c r="W42" s="145">
        <f>IF(B42="dairy cows",VLOOKUP(A42,'volatile solids and nex'!$B$4:$M$54,5,FALSE)*('Dairy Animal Numbers, Mass, Mil'!$K$19/1000) ) * 365</f>
        <v>288.77163573600001</v>
      </c>
      <c r="X42" s="143">
        <f>IF(B42="dairy cows",VLOOKUP(A42,'volatile solids and nex'!$B$4:$P$53,15,FALSE),0)</f>
        <v>69</v>
      </c>
      <c r="Y42" s="33">
        <v>0.17</v>
      </c>
      <c r="Z42" s="34">
        <f>VLOOKUP($A42,'Dairy State Manure Mgmt'!$M$2:$Q$52,3,FALSE)</f>
        <v>87</v>
      </c>
      <c r="AA42" s="34">
        <f>VLOOKUP($A42,'Dairy State Manure Mgmt'!$M$2:$Q$52,4,FALSE)</f>
        <v>0</v>
      </c>
      <c r="AB42" s="34">
        <v>0</v>
      </c>
      <c r="AC42" s="34">
        <v>0</v>
      </c>
      <c r="AD42" s="34">
        <f>VLOOKUP($A42,'Dairy State Manure Mgmt'!$M$2:$Q$52,2,FALSE)+VLOOKUP($A42,'Dairy State Manure Mgmt'!$M$2:$Q$52,5,FALSE)</f>
        <v>13</v>
      </c>
      <c r="AE42" s="146">
        <f t="shared" si="3"/>
        <v>0</v>
      </c>
      <c r="AF42" s="146">
        <f t="shared" si="4"/>
        <v>100</v>
      </c>
      <c r="AG42" s="147">
        <f t="shared" si="5"/>
        <v>1.3150642247000002</v>
      </c>
      <c r="AH42" s="144">
        <f t="shared" si="6"/>
        <v>0.30259222889602683</v>
      </c>
      <c r="AI42" s="34">
        <f t="shared" si="7"/>
        <v>1.0519000000000001</v>
      </c>
      <c r="AJ42" s="34">
        <f t="shared" si="8"/>
        <v>1.2005999999999999</v>
      </c>
      <c r="AK42" s="148">
        <f>(H42 * 0.26 * 0.01 ) +            (H42 * ( ((VLOOKUP(A42,'avg ann temp, manure EFs'!$B$1:$AA$55,22,FALSE)/100*N42/100)+(VLOOKUP(A42,'avg ann temp, manure EFs'!$B$1:$AA$55,23,FALSE)/100*O42/100)+(VLOOKUP(A42,'avg ann temp, manure EFs'!$B$1:$AA$55,19,FALSE)/100*P42/100)+(0.05*R42/100) )  * 0.0075 ))</f>
        <v>0.76710199999999995</v>
      </c>
      <c r="AL42" s="148">
        <f>(X42 * 0.43 * 0.01 ) +            (X42 * ( ((VLOOKUP(A42,'avg ann temp, manure EFs'!$B$1:$AA$55,22,FALSE)/100*Z42/100)+(VLOOKUP(A42,'avg ann temp, manure EFs'!$B$1:$AA$55,23,FALSE)/100*AA42/100)+(VLOOKUP(A42,'avg ann temp, manure EFs'!$B$1:$AA$55,19,FALSE)/100*AB42/100)+(0.05*AD42/100) )  * 0.0075 ))</f>
        <v>0.36759749999999997</v>
      </c>
      <c r="AM42" s="149">
        <f>(('Dairy Manure Inventory'!U42*'Dairy Manure Inventory'!C42)/1000/1000000)*28</f>
        <v>0.65875059394143998</v>
      </c>
      <c r="AN42" s="149">
        <f>(('Dairy Manure Inventory'!AH42*'Dairy Manure Inventory'!D42)/1000/1000000)*28 + (('Dairy Manure Inventory'!AG42*('Dairy Manure Inventory'!E42+'Dairy Manure Inventory'!F42) )/1000/1000000)*28</f>
        <v>2.1793495638302574E-3</v>
      </c>
      <c r="AO42" s="149">
        <f>(( ('Dairy Manure Inventory'!AI42+'Dairy Manure Inventory'!AK42) * 'Dairy Manure Inventory'!C42)/1000/1000000)*265</f>
        <v>6.1218512310000001E-2</v>
      </c>
      <c r="AP42" s="150">
        <f>(( ('Dairy Manure Inventory'!AJ42+'Dairy Manure Inventory'!AL42) * ('Dairy Manure Inventory'!D42+'Dairy Manure Inventory'!E42+'Dairy Manure Inventory'!F42) /1000/1000000)*265)</f>
        <v>4.5712957124999988E-2</v>
      </c>
      <c r="AQ42" s="43">
        <f t="shared" si="9"/>
        <v>0.76786141294027022</v>
      </c>
    </row>
    <row r="43" spans="1:43" ht="15.75" customHeight="1">
      <c r="A43" s="110" t="s">
        <v>76</v>
      </c>
      <c r="B43" s="45" t="s">
        <v>147</v>
      </c>
      <c r="C43" s="131">
        <f>VLOOKUP(A43,'Dairy Animal Numbers, Mass, Mil'!$B$4:$H$51,2,FALSE)</f>
        <v>31000</v>
      </c>
      <c r="D43" s="125">
        <f>VLOOKUP($A43,'Dairy Animal Numbers, Mass, Mil'!$B$4:$F$52,3,FALSE)</f>
        <v>16000</v>
      </c>
      <c r="E43" s="125">
        <f>VLOOKUP($A43,'Dairy Animal Numbers, Mass, Mil'!$B$4:$F$52,4,FALSE)</f>
        <v>7000</v>
      </c>
      <c r="F43" s="125">
        <f>VLOOKUP($A43,'Dairy Animal Numbers, Mass, Mil'!$B$4:$F$52,5,FALSE)</f>
        <v>17000</v>
      </c>
      <c r="G43" s="142">
        <f>IF(B43="dairy cows",VLOOKUP(A43,'volatile solids and nex'!$B$4:$P$53,6,FALSE),0)</f>
        <v>2495</v>
      </c>
      <c r="H43" s="143">
        <f>IF(B43="dairy cows",VLOOKUP(A43,'volatile solids and nex'!$B$4:$P$53,14,FALSE),0)</f>
        <v>146</v>
      </c>
      <c r="I43" s="120">
        <v>0.24</v>
      </c>
      <c r="J43" s="33">
        <f>VLOOKUP(A43,'avg ann temp, manure EFs'!$B$3:$J$52,6,FALSE)</f>
        <v>1</v>
      </c>
      <c r="K43" s="33">
        <f>VLOOKUP(A43,'avg ann temp, manure EFs'!$B$3:$J$52,5,FALSE)</f>
        <v>33</v>
      </c>
      <c r="L43" s="33">
        <f>VLOOKUP(A43,'avg ann temp, manure EFs'!$B$3:$J$52,4,FALSE)</f>
        <v>74</v>
      </c>
      <c r="M43" s="33">
        <f>VLOOKUP(A43,'avg ann temp, manure EFs'!$B$3:$J$52,9,FALSE)</f>
        <v>50</v>
      </c>
      <c r="N43" s="33">
        <f>VLOOKUP(A43,'Dairy State Manure Mgmt'!$B$3:$I$52,4,FALSE)+VLOOKUP(A43,'Dairy State Manure Mgmt'!$B$3:$I$52,5,FALSE)</f>
        <v>12</v>
      </c>
      <c r="O43" s="33">
        <f>+VLOOKUP(A43,'Dairy State Manure Mgmt'!$B$3:$I$52,6,FALSE)+VLOOKUP(A43,'Dairy State Manure Mgmt'!$B$3:$I$52,8,FALSE)</f>
        <v>13</v>
      </c>
      <c r="P43" s="33">
        <f>+VLOOKUP(A43,'Dairy State Manure Mgmt'!$B$3:$I$52,7,FALSE)</f>
        <v>26</v>
      </c>
      <c r="Q43" s="33">
        <v>0</v>
      </c>
      <c r="R43" s="34">
        <f>VLOOKUP(A43,'Dairy State Manure Mgmt'!$B$3:$I$52,2,FALSE)+VLOOKUP(A43,'Dairy State Manure Mgmt'!$B$3:$I$52,3,FALSE)</f>
        <v>48</v>
      </c>
      <c r="S43" s="34">
        <f t="shared" si="0"/>
        <v>1</v>
      </c>
      <c r="T43" s="34">
        <f t="shared" si="1"/>
        <v>99</v>
      </c>
      <c r="U43" s="144">
        <f t="shared" si="10"/>
        <v>93.7521804</v>
      </c>
      <c r="V43" s="142">
        <f>(IF(B43="dairy cows",VLOOKUP(A43,'volatile solids and nex'!$B$4:$M$53,7,FALSE)) )</f>
        <v>1255</v>
      </c>
      <c r="W43" s="145">
        <f>IF(B43="dairy cows",VLOOKUP(A43,'volatile solids and nex'!$B$4:$M$54,5,FALSE)*('Dairy Animal Numbers, Mass, Mil'!$K$19/1000) ) * 365</f>
        <v>313.80447103200004</v>
      </c>
      <c r="X43" s="143">
        <f>IF(B43="dairy cows",VLOOKUP(A43,'volatile solids and nex'!$B$4:$P$53,15,FALSE),0)</f>
        <v>69</v>
      </c>
      <c r="Y43" s="33">
        <v>0.17</v>
      </c>
      <c r="Z43" s="34">
        <f>VLOOKUP($A43,'Dairy State Manure Mgmt'!$M$2:$Q$52,3,FALSE)</f>
        <v>26</v>
      </c>
      <c r="AA43" s="34">
        <f>VLOOKUP($A43,'Dairy State Manure Mgmt'!$M$2:$Q$52,4,FALSE)</f>
        <v>0</v>
      </c>
      <c r="AB43" s="34">
        <v>0</v>
      </c>
      <c r="AC43" s="34">
        <v>0</v>
      </c>
      <c r="AD43" s="34">
        <f>VLOOKUP($A43,'Dairy State Manure Mgmt'!$M$2:$Q$52,2,FALSE)+VLOOKUP($A43,'Dairy State Manure Mgmt'!$M$2:$Q$52,5,FALSE)</f>
        <v>74</v>
      </c>
      <c r="AE43" s="146">
        <f t="shared" si="3"/>
        <v>0</v>
      </c>
      <c r="AF43" s="146">
        <f t="shared" si="4"/>
        <v>100</v>
      </c>
      <c r="AG43" s="147">
        <f t="shared" si="5"/>
        <v>0.85844274060000014</v>
      </c>
      <c r="AH43" s="144">
        <f t="shared" si="6"/>
        <v>0.21464794432290318</v>
      </c>
      <c r="AI43" s="34">
        <f t="shared" si="7"/>
        <v>0.6351</v>
      </c>
      <c r="AJ43" s="34">
        <f t="shared" si="8"/>
        <v>0.35880000000000001</v>
      </c>
      <c r="AK43" s="148">
        <f>(H43 * 0.26 * 0.01 ) +            (H43 * ( ((VLOOKUP(A43,'avg ann temp, manure EFs'!$B$1:$AA$55,22,FALSE)/100*N43/100)+(VLOOKUP(A43,'avg ann temp, manure EFs'!$B$1:$AA$55,23,FALSE)/100*O43/100)+(VLOOKUP(A43,'avg ann temp, manure EFs'!$B$1:$AA$55,19,FALSE)/100*P43/100)+(0.05*R43/100) )  * 0.0075 ))</f>
        <v>0.58502199999999993</v>
      </c>
      <c r="AL43" s="148">
        <f>(X43 * 0.43 * 0.01 ) +            (X43 * ( ((VLOOKUP(A43,'avg ann temp, manure EFs'!$B$1:$AA$55,22,FALSE)/100*Z43/100)+(VLOOKUP(A43,'avg ann temp, manure EFs'!$B$1:$AA$55,23,FALSE)/100*AA43/100)+(VLOOKUP(A43,'avg ann temp, manure EFs'!$B$1:$AA$55,19,FALSE)/100*AB43/100)+(0.05*AD43/100) )  * 0.0075 ))</f>
        <v>0.33602999999999994</v>
      </c>
      <c r="AM43" s="149">
        <f>(('Dairy Manure Inventory'!U43*'Dairy Manure Inventory'!C43)/1000/1000000)*28</f>
        <v>8.1376892587199989E-2</v>
      </c>
      <c r="AN43" s="149">
        <f>(('Dairy Manure Inventory'!AH43*'Dairy Manure Inventory'!D43)/1000/1000000)*28 + (('Dairy Manure Inventory'!AG43*('Dairy Manure Inventory'!E43+'Dairy Manure Inventory'!F43) )/1000/1000000)*28</f>
        <v>6.730358007398607E-4</v>
      </c>
      <c r="AO43" s="149">
        <f>(( ('Dairy Manure Inventory'!AI43+'Dairy Manure Inventory'!AK43) * 'Dairy Manure Inventory'!C43)/1000/1000000)*265</f>
        <v>1.002330223E-2</v>
      </c>
      <c r="AP43" s="150">
        <f>(( ('Dairy Manure Inventory'!AJ43+'Dairy Manure Inventory'!AL43) * ('Dairy Manure Inventory'!D43+'Dairy Manure Inventory'!E43+'Dairy Manure Inventory'!F43) /1000/1000000)*265)</f>
        <v>7.3651979999999999E-3</v>
      </c>
      <c r="AQ43" s="43">
        <f t="shared" si="9"/>
        <v>9.9438428617939861E-2</v>
      </c>
    </row>
    <row r="44" spans="1:43" ht="15.75" customHeight="1">
      <c r="A44" s="110" t="s">
        <v>77</v>
      </c>
      <c r="B44" s="45" t="s">
        <v>147</v>
      </c>
      <c r="C44" s="131">
        <f>VLOOKUP(A44,'Dairy Animal Numbers, Mass, Mil'!$B$4:$H$51,2,FALSE)</f>
        <v>580000</v>
      </c>
      <c r="D44" s="125">
        <f>VLOOKUP($A44,'Dairy Animal Numbers, Mass, Mil'!$B$4:$F$52,3,FALSE)</f>
        <v>300000</v>
      </c>
      <c r="E44" s="125">
        <f>VLOOKUP($A44,'Dairy Animal Numbers, Mass, Mil'!$B$4:$F$52,4,FALSE)</f>
        <v>82000</v>
      </c>
      <c r="F44" s="125">
        <f>VLOOKUP($A44,'Dairy Animal Numbers, Mass, Mil'!$B$4:$F$52,5,FALSE)</f>
        <v>196000</v>
      </c>
      <c r="G44" s="142">
        <f>IF(B44="dairy cows",VLOOKUP(A44,'volatile solids and nex'!$B$4:$P$53,6,FALSE),0)</f>
        <v>2954</v>
      </c>
      <c r="H44" s="143">
        <f>IF(B44="dairy cows",VLOOKUP(A44,'volatile solids and nex'!$B$4:$P$53,14,FALSE),0)</f>
        <v>164</v>
      </c>
      <c r="I44" s="120">
        <v>0.24</v>
      </c>
      <c r="J44" s="33">
        <f>VLOOKUP(A44,'avg ann temp, manure EFs'!$B$3:$J$52,6,FALSE)</f>
        <v>1.5</v>
      </c>
      <c r="K44" s="33">
        <f>VLOOKUP(A44,'avg ann temp, manure EFs'!$B$3:$J$52,5,FALSE)</f>
        <v>41</v>
      </c>
      <c r="L44" s="33">
        <f>VLOOKUP(A44,'avg ann temp, manure EFs'!$B$3:$J$52,4,FALSE)</f>
        <v>77</v>
      </c>
      <c r="M44" s="33">
        <f>VLOOKUP(A44,'avg ann temp, manure EFs'!$B$3:$J$52,9,FALSE)</f>
        <v>50</v>
      </c>
      <c r="N44" s="33">
        <f>VLOOKUP(A44,'Dairy State Manure Mgmt'!$B$3:$I$52,4,FALSE)+VLOOKUP(A44,'Dairy State Manure Mgmt'!$B$3:$I$52,5,FALSE)</f>
        <v>51</v>
      </c>
      <c r="O44" s="33">
        <f>+VLOOKUP(A44,'Dairy State Manure Mgmt'!$B$3:$I$52,6,FALSE)+VLOOKUP(A44,'Dairy State Manure Mgmt'!$B$3:$I$52,8,FALSE)</f>
        <v>8</v>
      </c>
      <c r="P44" s="33">
        <f>+VLOOKUP(A44,'Dairy State Manure Mgmt'!$B$3:$I$52,7,FALSE)</f>
        <v>30</v>
      </c>
      <c r="Q44" s="33">
        <v>0</v>
      </c>
      <c r="R44" s="34">
        <f>VLOOKUP(A44,'Dairy State Manure Mgmt'!$B$3:$I$52,2,FALSE)+VLOOKUP(A44,'Dairy State Manure Mgmt'!$B$3:$I$52,3,FALSE)</f>
        <v>11</v>
      </c>
      <c r="S44" s="34">
        <f t="shared" si="0"/>
        <v>0</v>
      </c>
      <c r="T44" s="34">
        <f t="shared" si="1"/>
        <v>100</v>
      </c>
      <c r="U44" s="144">
        <f t="shared" si="10"/>
        <v>127.400558104</v>
      </c>
      <c r="V44" s="142">
        <f>(IF(B44="dairy cows",VLOOKUP(A44,'volatile solids and nex'!$B$4:$M$53,7,FALSE)) )</f>
        <v>1255</v>
      </c>
      <c r="W44" s="145">
        <f>IF(B44="dairy cows",VLOOKUP(A44,'volatile solids and nex'!$B$4:$M$54,5,FALSE)*('Dairy Animal Numbers, Mass, Mil'!$K$19/1000) ) * 365</f>
        <v>312.91044120000004</v>
      </c>
      <c r="X44" s="143">
        <f>IF(B44="dairy cows",VLOOKUP(A44,'volatile solids and nex'!$B$4:$P$53,15,FALSE),0)</f>
        <v>69</v>
      </c>
      <c r="Y44" s="33">
        <v>0.17</v>
      </c>
      <c r="Z44" s="34">
        <f>VLOOKUP($A44,'Dairy State Manure Mgmt'!$M$2:$Q$52,3,FALSE)</f>
        <v>92</v>
      </c>
      <c r="AA44" s="34">
        <f>VLOOKUP($A44,'Dairy State Manure Mgmt'!$M$2:$Q$52,4,FALSE)</f>
        <v>0</v>
      </c>
      <c r="AB44" s="34">
        <v>0</v>
      </c>
      <c r="AC44" s="34">
        <v>0</v>
      </c>
      <c r="AD44" s="34">
        <f>VLOOKUP($A44,'Dairy State Manure Mgmt'!$M$2:$Q$52,2,FALSE)+VLOOKUP($A44,'Dairy State Manure Mgmt'!$M$2:$Q$52,5,FALSE)</f>
        <v>8</v>
      </c>
      <c r="AE44" s="146">
        <f t="shared" si="3"/>
        <v>0</v>
      </c>
      <c r="AF44" s="146">
        <f t="shared" si="4"/>
        <v>100</v>
      </c>
      <c r="AG44" s="147">
        <f t="shared" si="5"/>
        <v>2.0021856352</v>
      </c>
      <c r="AH44" s="144">
        <f t="shared" si="6"/>
        <v>0.49920700436233817</v>
      </c>
      <c r="AI44" s="34">
        <f t="shared" si="7"/>
        <v>1.9843999999999999</v>
      </c>
      <c r="AJ44" s="34">
        <f t="shared" si="8"/>
        <v>1.2696000000000001</v>
      </c>
      <c r="AK44" s="148">
        <f>(H44 * 0.26 * 0.01 ) +            (H44 * ( ((VLOOKUP(A44,'avg ann temp, manure EFs'!$B$1:$AA$55,22,FALSE)/100*N44/100)+(VLOOKUP(A44,'avg ann temp, manure EFs'!$B$1:$AA$55,23,FALSE)/100*O44/100)+(VLOOKUP(A44,'avg ann temp, manure EFs'!$B$1:$AA$55,19,FALSE)/100*P44/100)+(0.05*R44/100) )  * 0.0075 ))</f>
        <v>0.71151399999999998</v>
      </c>
      <c r="AL44" s="148">
        <f>(X44 * 0.43 * 0.01 ) +            (X44 * ( ((VLOOKUP(A44,'avg ann temp, manure EFs'!$B$1:$AA$55,22,FALSE)/100*Z44/100)+(VLOOKUP(A44,'avg ann temp, manure EFs'!$B$1:$AA$55,23,FALSE)/100*AA44/100)+(VLOOKUP(A44,'avg ann temp, manure EFs'!$B$1:$AA$55,19,FALSE)/100*AB44/100)+(0.05*AD44/100) )  * 0.0075 ))</f>
        <v>0.37018499999999993</v>
      </c>
      <c r="AM44" s="149">
        <f>(('Dairy Manure Inventory'!U44*'Dairy Manure Inventory'!C44)/1000/1000000)*28</f>
        <v>2.0689850636089604</v>
      </c>
      <c r="AN44" s="149">
        <f>(('Dairy Manure Inventory'!AH44*'Dairy Manure Inventory'!D44)/1000/1000000)*28 + (('Dairy Manure Inventory'!AG44*('Dairy Manure Inventory'!E44+'Dairy Manure Inventory'!F44) )/1000/1000000)*28</f>
        <v>1.977835182104044E-2</v>
      </c>
      <c r="AO44" s="149">
        <f>(( ('Dairy Manure Inventory'!AI44+'Dairy Manure Inventory'!AK44) * 'Dairy Manure Inventory'!C44)/1000/1000000)*265</f>
        <v>0.4143619818</v>
      </c>
      <c r="AP44" s="150">
        <f>(( ('Dairy Manure Inventory'!AJ44+'Dairy Manure Inventory'!AL44) * ('Dairy Manure Inventory'!D44+'Dairy Manure Inventory'!E44+'Dairy Manure Inventory'!F44) /1000/1000000)*265)</f>
        <v>0.25116586845</v>
      </c>
      <c r="AQ44" s="43">
        <f t="shared" si="9"/>
        <v>2.7542912656800009</v>
      </c>
    </row>
    <row r="45" spans="1:43" ht="15.75" customHeight="1">
      <c r="A45" s="110" t="s">
        <v>78</v>
      </c>
      <c r="B45" s="45" t="s">
        <v>147</v>
      </c>
      <c r="C45" s="45">
        <v>97000</v>
      </c>
      <c r="D45" s="125">
        <f>VLOOKUP($A45,'Dairy Animal Numbers, Mass, Mil'!$B$4:$F$52,3,FALSE)</f>
        <v>50000</v>
      </c>
      <c r="E45" s="125">
        <f>VLOOKUP($A45,'Dairy Animal Numbers, Mass, Mil'!$B$4:$F$52,4,FALSE)</f>
        <v>15000</v>
      </c>
      <c r="F45" s="125">
        <f>VLOOKUP($A45,'Dairy Animal Numbers, Mass, Mil'!$B$4:$F$52,5,FALSE)</f>
        <v>35000</v>
      </c>
      <c r="G45" s="142">
        <f>IF(B45="dairy cows",VLOOKUP(A45,'volatile solids and nex'!$B$4:$P$53,6,FALSE),0)</f>
        <v>2821</v>
      </c>
      <c r="H45" s="143">
        <f>IF(B45="dairy cows",VLOOKUP(A45,'volatile solids and nex'!$B$4:$P$53,14,FALSE),0)</f>
        <v>158</v>
      </c>
      <c r="I45" s="120">
        <v>0.24</v>
      </c>
      <c r="J45" s="33">
        <f>VLOOKUP(A45,'avg ann temp, manure EFs'!$B$3:$J$52,6,FALSE)</f>
        <v>1</v>
      </c>
      <c r="K45" s="33">
        <f>VLOOKUP(A45,'avg ann temp, manure EFs'!$B$3:$J$52,5,FALSE)</f>
        <v>23</v>
      </c>
      <c r="L45" s="33">
        <f>VLOOKUP(A45,'avg ann temp, manure EFs'!$B$3:$J$52,4,FALSE)</f>
        <v>68</v>
      </c>
      <c r="M45" s="33">
        <f>VLOOKUP(A45,'avg ann temp, manure EFs'!$B$3:$J$52,9,FALSE)</f>
        <v>50</v>
      </c>
      <c r="N45" s="33">
        <f>VLOOKUP(A45,'Dairy State Manure Mgmt'!$B$3:$I$52,4,FALSE)+VLOOKUP(A45,'Dairy State Manure Mgmt'!$B$3:$I$52,5,FALSE)</f>
        <v>49</v>
      </c>
      <c r="O45" s="33">
        <f>+VLOOKUP(A45,'Dairy State Manure Mgmt'!$B$3:$I$52,6,FALSE)+VLOOKUP(A45,'Dairy State Manure Mgmt'!$B$3:$I$52,8,FALSE)</f>
        <v>12</v>
      </c>
      <c r="P45" s="33">
        <f>+VLOOKUP(A45,'Dairy State Manure Mgmt'!$B$3:$I$52,7,FALSE)</f>
        <v>28</v>
      </c>
      <c r="Q45" s="33">
        <v>0</v>
      </c>
      <c r="R45" s="34">
        <f>VLOOKUP(A45,'Dairy State Manure Mgmt'!$B$3:$I$52,2,FALSE)+VLOOKUP(A45,'Dairy State Manure Mgmt'!$B$3:$I$52,3,FALSE)</f>
        <v>12</v>
      </c>
      <c r="S45" s="34">
        <f t="shared" si="0"/>
        <v>-1</v>
      </c>
      <c r="T45" s="34">
        <f t="shared" si="1"/>
        <v>101</v>
      </c>
      <c r="U45" s="144">
        <f t="shared" si="10"/>
        <v>99.904450992000008</v>
      </c>
      <c r="V45" s="142">
        <f>(IF(B45="dairy cows",VLOOKUP(A45,'volatile solids and nex'!$B$4:$M$53,7,FALSE)) )</f>
        <v>1255</v>
      </c>
      <c r="W45" s="145">
        <f>IF(B45="dairy cows",VLOOKUP(A45,'volatile solids and nex'!$B$4:$M$54,5,FALSE)*('Dairy Animal Numbers, Mass, Mil'!$K$19/1000) ) * 365</f>
        <v>403.20745423200003</v>
      </c>
      <c r="X45" s="143">
        <f>IF(B45="dairy cows",VLOOKUP(A45,'volatile solids and nex'!$B$4:$P$53,15,FALSE),0)</f>
        <v>69</v>
      </c>
      <c r="Y45" s="33">
        <v>0.17</v>
      </c>
      <c r="Z45" s="34">
        <f>VLOOKUP($A45,'Dairy State Manure Mgmt'!$M$2:$Q$52,3,FALSE)</f>
        <v>98</v>
      </c>
      <c r="AA45" s="34">
        <f>VLOOKUP($A45,'Dairy State Manure Mgmt'!$M$2:$Q$52,4,FALSE)</f>
        <v>0</v>
      </c>
      <c r="AB45" s="34">
        <v>0</v>
      </c>
      <c r="AC45" s="34">
        <v>0</v>
      </c>
      <c r="AD45" s="34">
        <f>VLOOKUP($A45,'Dairy State Manure Mgmt'!$M$2:$Q$52,2,FALSE)+VLOOKUP($A45,'Dairy State Manure Mgmt'!$M$2:$Q$52,5,FALSE)</f>
        <v>2</v>
      </c>
      <c r="AE45" s="146">
        <f t="shared" si="3"/>
        <v>0</v>
      </c>
      <c r="AF45" s="146">
        <f t="shared" si="4"/>
        <v>100</v>
      </c>
      <c r="AG45" s="147">
        <f t="shared" si="5"/>
        <v>1.3974058038000001</v>
      </c>
      <c r="AH45" s="144">
        <f t="shared" si="6"/>
        <v>0.44895971050137035</v>
      </c>
      <c r="AI45" s="34">
        <f t="shared" si="7"/>
        <v>1.8644000000000001</v>
      </c>
      <c r="AJ45" s="34">
        <f t="shared" si="8"/>
        <v>1.3524</v>
      </c>
      <c r="AK45" s="148">
        <f>(H45 * 0.26 * 0.01 ) +            (H45 * ( ((VLOOKUP(A45,'avg ann temp, manure EFs'!$B$1:$AA$55,22,FALSE)/100*N45/100)+(VLOOKUP(A45,'avg ann temp, manure EFs'!$B$1:$AA$55,23,FALSE)/100*O45/100)+(VLOOKUP(A45,'avg ann temp, manure EFs'!$B$1:$AA$55,19,FALSE)/100*P45/100)+(0.05*R45/100) )  * 0.0075 ))</f>
        <v>0.68465350000000003</v>
      </c>
      <c r="AL45" s="148">
        <f>(X45 * 0.43 * 0.01 ) +            (X45 * ( ((VLOOKUP(A45,'avg ann temp, manure EFs'!$B$1:$AA$55,22,FALSE)/100*Z45/100)+(VLOOKUP(A45,'avg ann temp, manure EFs'!$B$1:$AA$55,23,FALSE)/100*AA45/100)+(VLOOKUP(A45,'avg ann temp, manure EFs'!$B$1:$AA$55,19,FALSE)/100*AB45/100)+(0.05*AD45/100) )  * 0.0075 ))</f>
        <v>0.37328999999999996</v>
      </c>
      <c r="AM45" s="149">
        <f>(('Dairy Manure Inventory'!U45*'Dairy Manure Inventory'!C45)/1000/1000000)*28</f>
        <v>0.27134048889427198</v>
      </c>
      <c r="AN45" s="149">
        <f>(('Dairy Manure Inventory'!AH45*'Dairy Manure Inventory'!D45)/1000/1000000)*28 + (('Dairy Manure Inventory'!AG45*('Dairy Manure Inventory'!E45+'Dairy Manure Inventory'!F45) )/1000/1000000)*28</f>
        <v>2.5849117200219185E-3</v>
      </c>
      <c r="AO45" s="149">
        <f>(( ('Dairy Manure Inventory'!AI45+'Dairy Manure Inventory'!AK45) * 'Dairy Manure Inventory'!C45)/1000/1000000)*265</f>
        <v>6.5523420217500017E-2</v>
      </c>
      <c r="AP45" s="150">
        <f>(( ('Dairy Manure Inventory'!AJ45+'Dairy Manure Inventory'!AL45) * ('Dairy Manure Inventory'!D45+'Dairy Manure Inventory'!E45+'Dairy Manure Inventory'!F45) /1000/1000000)*265)</f>
        <v>4.5730784999999996E-2</v>
      </c>
      <c r="AQ45" s="43">
        <f t="shared" si="9"/>
        <v>0.38517960583179389</v>
      </c>
    </row>
    <row r="46" spans="1:43" ht="15.75" customHeight="1">
      <c r="A46" s="110" t="s">
        <v>79</v>
      </c>
      <c r="B46" s="45" t="s">
        <v>147</v>
      </c>
      <c r="C46" s="131">
        <f>VLOOKUP(A46,'Dairy Animal Numbers, Mass, Mil'!$B$4:$H$51,2,FALSE)</f>
        <v>74000</v>
      </c>
      <c r="D46" s="125">
        <f>VLOOKUP($A46,'Dairy Animal Numbers, Mass, Mil'!$B$4:$F$52,3,FALSE)</f>
        <v>38000</v>
      </c>
      <c r="E46" s="125">
        <f>VLOOKUP($A46,'Dairy Animal Numbers, Mass, Mil'!$B$4:$F$52,4,FALSE)</f>
        <v>10000</v>
      </c>
      <c r="F46" s="125">
        <f>VLOOKUP($A46,'Dairy Animal Numbers, Mass, Mil'!$B$4:$F$52,5,FALSE)</f>
        <v>23000</v>
      </c>
      <c r="G46" s="142">
        <f>IF(B46="dairy cows",VLOOKUP(A46,'volatile solids and nex'!$B$4:$P$53,6,FALSE),0)</f>
        <v>2660</v>
      </c>
      <c r="H46" s="143">
        <f>IF(B46="dairy cows",VLOOKUP(A46,'volatile solids and nex'!$B$4:$P$53,14,FALSE),0)</f>
        <v>153</v>
      </c>
      <c r="I46" s="120">
        <v>0.24</v>
      </c>
      <c r="J46" s="33">
        <f>VLOOKUP(A46,'avg ann temp, manure EFs'!$B$3:$J$52,6,FALSE)</f>
        <v>1</v>
      </c>
      <c r="K46" s="33">
        <f>VLOOKUP(A46,'avg ann temp, manure EFs'!$B$3:$J$52,5,FALSE)</f>
        <v>29</v>
      </c>
      <c r="L46" s="33">
        <f>VLOOKUP(A46,'avg ann temp, manure EFs'!$B$3:$J$52,4,FALSE)</f>
        <v>72</v>
      </c>
      <c r="M46" s="33">
        <f>VLOOKUP(A46,'avg ann temp, manure EFs'!$B$3:$J$52,9,FALSE)</f>
        <v>50</v>
      </c>
      <c r="N46" s="33">
        <f>VLOOKUP(A46,'Dairy State Manure Mgmt'!$B$3:$I$52,4,FALSE)+VLOOKUP(A46,'Dairy State Manure Mgmt'!$B$3:$I$52,5,FALSE)</f>
        <v>12</v>
      </c>
      <c r="O46" s="33">
        <f>+VLOOKUP(A46,'Dairy State Manure Mgmt'!$B$3:$I$52,6,FALSE)+VLOOKUP(A46,'Dairy State Manure Mgmt'!$B$3:$I$52,8,FALSE)</f>
        <v>13</v>
      </c>
      <c r="P46" s="33">
        <f>+VLOOKUP(A46,'Dairy State Manure Mgmt'!$B$3:$I$52,7,FALSE)</f>
        <v>26</v>
      </c>
      <c r="Q46" s="33">
        <v>0</v>
      </c>
      <c r="R46" s="34">
        <f>VLOOKUP(A46,'Dairy State Manure Mgmt'!$B$3:$I$52,2,FALSE)+VLOOKUP(A46,'Dairy State Manure Mgmt'!$B$3:$I$52,3,FALSE)</f>
        <v>49</v>
      </c>
      <c r="S46" s="34">
        <f t="shared" si="0"/>
        <v>0</v>
      </c>
      <c r="T46" s="34">
        <f t="shared" si="1"/>
        <v>100</v>
      </c>
      <c r="U46" s="144">
        <f t="shared" si="10"/>
        <v>95.556865879999975</v>
      </c>
      <c r="V46" s="142">
        <f>(IF(B46="dairy cows",VLOOKUP(A46,'volatile solids and nex'!$B$4:$M$53,7,FALSE)) )</f>
        <v>1255</v>
      </c>
      <c r="W46" s="145">
        <f>IF(B46="dairy cows",VLOOKUP(A46,'volatile solids and nex'!$B$4:$M$54,5,FALSE)*('Dairy Animal Numbers, Mass, Mil'!$K$19/1000) ) * 365</f>
        <v>313.80447103200004</v>
      </c>
      <c r="X46" s="143">
        <f>IF(B46="dairy cows",VLOOKUP(A46,'volatile solids and nex'!$B$4:$P$53,15,FALSE),0)</f>
        <v>69</v>
      </c>
      <c r="Y46" s="33">
        <v>0.17</v>
      </c>
      <c r="Z46" s="34">
        <f>VLOOKUP($A46,'Dairy State Manure Mgmt'!$M$2:$Q$52,3,FALSE)</f>
        <v>28</v>
      </c>
      <c r="AA46" s="34">
        <f>VLOOKUP($A46,'Dairy State Manure Mgmt'!$M$2:$Q$52,4,FALSE)</f>
        <v>0</v>
      </c>
      <c r="AB46" s="34">
        <v>0</v>
      </c>
      <c r="AC46" s="34">
        <v>0</v>
      </c>
      <c r="AD46" s="34">
        <f>VLOOKUP($A46,'Dairy State Manure Mgmt'!$M$2:$Q$52,2,FALSE)+VLOOKUP($A46,'Dairy State Manure Mgmt'!$M$2:$Q$52,5,FALSE)</f>
        <v>72</v>
      </c>
      <c r="AE46" s="146">
        <f t="shared" si="3"/>
        <v>0</v>
      </c>
      <c r="AF46" s="146">
        <f t="shared" si="4"/>
        <v>100</v>
      </c>
      <c r="AG46" s="147">
        <f t="shared" si="5"/>
        <v>0.87341393680000023</v>
      </c>
      <c r="AH46" s="144">
        <f t="shared" si="6"/>
        <v>0.21839139317091699</v>
      </c>
      <c r="AI46" s="34">
        <f t="shared" si="7"/>
        <v>0.66554999999999997</v>
      </c>
      <c r="AJ46" s="34">
        <f t="shared" si="8"/>
        <v>0.38640000000000008</v>
      </c>
      <c r="AK46" s="148">
        <f>(H46 * 0.26 * 0.01 ) +            (H46 * ( ((VLOOKUP(A46,'avg ann temp, manure EFs'!$B$1:$AA$55,22,FALSE)/100*N46/100)+(VLOOKUP(A46,'avg ann temp, manure EFs'!$B$1:$AA$55,23,FALSE)/100*O46/100)+(VLOOKUP(A46,'avg ann temp, manure EFs'!$B$1:$AA$55,19,FALSE)/100*P46/100)+(0.05*R46/100) )  * 0.0075 ))</f>
        <v>0.61364474999999996</v>
      </c>
      <c r="AL46" s="148">
        <f>(X46 * 0.43 * 0.01 ) +            (X46 * ( ((VLOOKUP(A46,'avg ann temp, manure EFs'!$B$1:$AA$55,22,FALSE)/100*Z46/100)+(VLOOKUP(A46,'avg ann temp, manure EFs'!$B$1:$AA$55,23,FALSE)/100*AA46/100)+(VLOOKUP(A46,'avg ann temp, manure EFs'!$B$1:$AA$55,19,FALSE)/100*AB46/100)+(0.05*AD46/100) )  * 0.0075 ))</f>
        <v>0.33706499999999995</v>
      </c>
      <c r="AM46" s="149">
        <f>(('Dairy Manure Inventory'!U46*'Dairy Manure Inventory'!C46)/1000/1000000)*28</f>
        <v>0.19799382610335997</v>
      </c>
      <c r="AN46" s="149">
        <f>(('Dairy Manure Inventory'!AH46*'Dairy Manure Inventory'!D46)/1000/1000000)*28 + (('Dairy Manure Inventory'!AG46*('Dairy Manure Inventory'!E46+'Dairy Manure Inventory'!F46) )/1000/1000000)*28</f>
        <v>1.0394029199370558E-3</v>
      </c>
      <c r="AO46" s="149">
        <f>(( ('Dairy Manure Inventory'!AI46+'Dairy Manure Inventory'!AK46) * 'Dairy Manure Inventory'!C46)/1000/1000000)*265</f>
        <v>2.5085009047499995E-2</v>
      </c>
      <c r="AP46" s="150">
        <f>(( ('Dairy Manure Inventory'!AJ46+'Dairy Manure Inventory'!AL46) * ('Dairy Manure Inventory'!D46+'Dairy Manure Inventory'!E46+'Dairy Manure Inventory'!F46) /1000/1000000)*265)</f>
        <v>1.3611993974999998E-2</v>
      </c>
      <c r="AQ46" s="43">
        <f t="shared" si="9"/>
        <v>0.23773023204579702</v>
      </c>
    </row>
    <row r="47" spans="1:43" ht="15.75" customHeight="1">
      <c r="A47" s="110" t="s">
        <v>80</v>
      </c>
      <c r="B47" s="45" t="s">
        <v>147</v>
      </c>
      <c r="C47" s="131">
        <f>VLOOKUP(A47,'Dairy Animal Numbers, Mass, Mil'!$B$4:$H$51,2,FALSE)</f>
        <v>124000</v>
      </c>
      <c r="D47" s="125">
        <f>VLOOKUP($A47,'Dairy Animal Numbers, Mass, Mil'!$B$4:$F$52,3,FALSE)</f>
        <v>64000</v>
      </c>
      <c r="E47" s="125">
        <f>VLOOKUP($A47,'Dairy Animal Numbers, Mass, Mil'!$B$4:$F$52,4,FALSE)</f>
        <v>16000</v>
      </c>
      <c r="F47" s="125">
        <f>VLOOKUP($A47,'Dairy Animal Numbers, Mass, Mil'!$B$4:$F$52,5,FALSE)</f>
        <v>38000</v>
      </c>
      <c r="G47" s="142">
        <f>IF(B47="dairy cows",VLOOKUP(A47,'volatile solids and nex'!$B$4:$P$53,6,FALSE),0)</f>
        <v>2682</v>
      </c>
      <c r="H47" s="143">
        <f>IF(B47="dairy cows",VLOOKUP(A47,'volatile solids and nex'!$B$4:$P$53,14,FALSE),0)</f>
        <v>152</v>
      </c>
      <c r="I47" s="120">
        <v>0.24</v>
      </c>
      <c r="J47" s="33">
        <f>VLOOKUP(A47,'avg ann temp, manure EFs'!$B$3:$J$52,6,FALSE)</f>
        <v>1</v>
      </c>
      <c r="K47" s="33">
        <f>VLOOKUP(A47,'avg ann temp, manure EFs'!$B$3:$J$52,5,FALSE)</f>
        <v>21</v>
      </c>
      <c r="L47" s="33">
        <f>VLOOKUP(A47,'avg ann temp, manure EFs'!$B$3:$J$52,4,FALSE)</f>
        <v>64</v>
      </c>
      <c r="M47" s="33">
        <f>VLOOKUP(A47,'avg ann temp, manure EFs'!$B$3:$J$52,9,FALSE)</f>
        <v>50</v>
      </c>
      <c r="N47" s="33">
        <f>VLOOKUP(A47,'Dairy State Manure Mgmt'!$B$3:$I$52,4,FALSE)+VLOOKUP(A47,'Dairy State Manure Mgmt'!$B$3:$I$52,5,FALSE)</f>
        <v>16</v>
      </c>
      <c r="O47" s="33">
        <f>+VLOOKUP(A47,'Dairy State Manure Mgmt'!$B$3:$I$52,6,FALSE)+VLOOKUP(A47,'Dairy State Manure Mgmt'!$B$3:$I$52,8,FALSE)</f>
        <v>31</v>
      </c>
      <c r="P47" s="33">
        <f>+VLOOKUP(A47,'Dairy State Manure Mgmt'!$B$3:$I$52,7,FALSE)</f>
        <v>36</v>
      </c>
      <c r="Q47" s="33">
        <v>0</v>
      </c>
      <c r="R47" s="34">
        <f>VLOOKUP(A47,'Dairy State Manure Mgmt'!$B$3:$I$52,2,FALSE)+VLOOKUP(A47,'Dairy State Manure Mgmt'!$B$3:$I$52,3,FALSE)</f>
        <v>17</v>
      </c>
      <c r="S47" s="34">
        <f t="shared" si="0"/>
        <v>0</v>
      </c>
      <c r="T47" s="34">
        <f t="shared" si="1"/>
        <v>100</v>
      </c>
      <c r="U47" s="144">
        <f t="shared" si="10"/>
        <v>126.59991013600001</v>
      </c>
      <c r="V47" s="142">
        <f>(IF(B47="dairy cows",VLOOKUP(A47,'volatile solids and nex'!$B$4:$M$53,7,FALSE)) )</f>
        <v>1255</v>
      </c>
      <c r="W47" s="145">
        <f>IF(B47="dairy cows",VLOOKUP(A47,'volatile solids and nex'!$B$4:$M$54,5,FALSE)*('Dairy Animal Numbers, Mass, Mil'!$K$19/1000) ) * 365</f>
        <v>308.44029204000003</v>
      </c>
      <c r="X47" s="143">
        <f>IF(B47="dairy cows",VLOOKUP(A47,'volatile solids and nex'!$B$4:$P$53,15,FALSE),0)</f>
        <v>69</v>
      </c>
      <c r="Y47" s="33">
        <v>0.17</v>
      </c>
      <c r="Z47" s="34">
        <f>VLOOKUP($A47,'Dairy State Manure Mgmt'!$M$2:$Q$52,3,FALSE)</f>
        <v>49</v>
      </c>
      <c r="AA47" s="34">
        <f>VLOOKUP($A47,'Dairy State Manure Mgmt'!$M$2:$Q$52,4,FALSE)</f>
        <v>0</v>
      </c>
      <c r="AB47" s="34">
        <v>0</v>
      </c>
      <c r="AC47" s="34">
        <v>0</v>
      </c>
      <c r="AD47" s="34">
        <f>VLOOKUP($A47,'Dairy State Manure Mgmt'!$M$2:$Q$52,2,FALSE)+VLOOKUP($A47,'Dairy State Manure Mgmt'!$M$2:$Q$52,5,FALSE)</f>
        <v>51</v>
      </c>
      <c r="AE47" s="146">
        <f t="shared" si="3"/>
        <v>0</v>
      </c>
      <c r="AF47" s="146">
        <f t="shared" si="4"/>
        <v>100</v>
      </c>
      <c r="AG47" s="147">
        <f t="shared" si="5"/>
        <v>1.0306114969</v>
      </c>
      <c r="AH47" s="144">
        <f t="shared" si="6"/>
        <v>0.25329251879172721</v>
      </c>
      <c r="AI47" s="34">
        <f t="shared" si="7"/>
        <v>0.99560000000000004</v>
      </c>
      <c r="AJ47" s="34">
        <f t="shared" si="8"/>
        <v>0.67620000000000002</v>
      </c>
      <c r="AK47" s="148">
        <f>(H47 * 0.26 * 0.01 ) +            (H47 * ( ((VLOOKUP(A47,'avg ann temp, manure EFs'!$B$1:$AA$55,22,FALSE)/100*N47/100)+(VLOOKUP(A47,'avg ann temp, manure EFs'!$B$1:$AA$55,23,FALSE)/100*O47/100)+(VLOOKUP(A47,'avg ann temp, manure EFs'!$B$1:$AA$55,19,FALSE)/100*P47/100)+(0.05*R47/100) )  * 0.0075 ))</f>
        <v>0.70060600000000006</v>
      </c>
      <c r="AL47" s="148">
        <f>(X47 * 0.43 * 0.01 ) +            (X47 * ( ((VLOOKUP(A47,'avg ann temp, manure EFs'!$B$1:$AA$55,22,FALSE)/100*Z47/100)+(VLOOKUP(A47,'avg ann temp, manure EFs'!$B$1:$AA$55,23,FALSE)/100*AA47/100)+(VLOOKUP(A47,'avg ann temp, manure EFs'!$B$1:$AA$55,19,FALSE)/100*AB47/100)+(0.05*AD47/100) )  * 0.0075 ))</f>
        <v>0.34793249999999998</v>
      </c>
      <c r="AM47" s="149">
        <f>(('Dairy Manure Inventory'!U47*'Dairy Manure Inventory'!C47)/1000/1000000)*28</f>
        <v>0.439554887992192</v>
      </c>
      <c r="AN47" s="149">
        <f>(('Dairy Manure Inventory'!AH47*'Dairy Manure Inventory'!D47)/1000/1000000)*28 + (('Dairy Manure Inventory'!AG47*('Dairy Manure Inventory'!E47+'Dairy Manure Inventory'!F47) )/1000/1000000)*28</f>
        <v>2.0121847769875752E-3</v>
      </c>
      <c r="AO47" s="149">
        <f>(( ('Dairy Manure Inventory'!AI47+'Dairy Manure Inventory'!AK47) * 'Dairy Manure Inventory'!C47)/1000/1000000)*265</f>
        <v>5.5737329160000008E-2</v>
      </c>
      <c r="AP47" s="150">
        <f>(( ('Dairy Manure Inventory'!AJ47+'Dairy Manure Inventory'!AL47) * ('Dairy Manure Inventory'!D47+'Dairy Manure Inventory'!E47+'Dairy Manure Inventory'!F47) /1000/1000000)*265)</f>
        <v>3.2024623274999997E-2</v>
      </c>
      <c r="AQ47" s="43">
        <f t="shared" si="9"/>
        <v>0.52932902520417957</v>
      </c>
    </row>
    <row r="48" spans="1:43" ht="15.75" customHeight="1">
      <c r="A48" s="110" t="s">
        <v>81</v>
      </c>
      <c r="B48" s="45" t="s">
        <v>147</v>
      </c>
      <c r="C48" s="131">
        <f>VLOOKUP(A48,'Dairy Animal Numbers, Mass, Mil'!$B$4:$H$51,2,FALSE)</f>
        <v>282000</v>
      </c>
      <c r="D48" s="125">
        <f>VLOOKUP($A48,'Dairy Animal Numbers, Mass, Mil'!$B$4:$F$52,3,FALSE)</f>
        <v>146000</v>
      </c>
      <c r="E48" s="125">
        <f>VLOOKUP($A48,'Dairy Animal Numbers, Mass, Mil'!$B$4:$F$52,4,FALSE)</f>
        <v>37000</v>
      </c>
      <c r="F48" s="125">
        <f>VLOOKUP($A48,'Dairy Animal Numbers, Mass, Mil'!$B$4:$F$52,5,FALSE)</f>
        <v>89000</v>
      </c>
      <c r="G48" s="142">
        <f>IF(B48="dairy cows",VLOOKUP(A48,'volatile solids and nex'!$B$4:$P$53,6,FALSE),0)</f>
        <v>2907</v>
      </c>
      <c r="H48" s="143">
        <f>IF(B48="dairy cows",VLOOKUP(A48,'volatile solids and nex'!$B$4:$P$53,14,FALSE),0)</f>
        <v>161</v>
      </c>
      <c r="I48" s="120">
        <v>0.24</v>
      </c>
      <c r="J48" s="33">
        <f>VLOOKUP(A48,'avg ann temp, manure EFs'!$B$3:$J$52,6,FALSE)</f>
        <v>1</v>
      </c>
      <c r="K48" s="33">
        <f>VLOOKUP(A48,'avg ann temp, manure EFs'!$B$3:$J$52,5,FALSE)</f>
        <v>21</v>
      </c>
      <c r="L48" s="33">
        <f>VLOOKUP(A48,'avg ann temp, manure EFs'!$B$3:$J$52,4,FALSE)</f>
        <v>64</v>
      </c>
      <c r="M48" s="33">
        <f>VLOOKUP(A48,'avg ann temp, manure EFs'!$B$3:$J$52,9,FALSE)</f>
        <v>50</v>
      </c>
      <c r="N48" s="33">
        <f>VLOOKUP(A48,'Dairy State Manure Mgmt'!$B$3:$I$52,4,FALSE)+VLOOKUP(A48,'Dairy State Manure Mgmt'!$B$3:$I$52,5,FALSE)</f>
        <v>28</v>
      </c>
      <c r="O48" s="33">
        <f>+VLOOKUP(A48,'Dairy State Manure Mgmt'!$B$3:$I$52,6,FALSE)+VLOOKUP(A48,'Dairy State Manure Mgmt'!$B$3:$I$52,8,FALSE)</f>
        <v>13</v>
      </c>
      <c r="P48" s="33">
        <f>+VLOOKUP(A48,'Dairy State Manure Mgmt'!$B$3:$I$52,7,FALSE)</f>
        <v>51</v>
      </c>
      <c r="Q48" s="33">
        <v>0</v>
      </c>
      <c r="R48" s="34">
        <f>VLOOKUP(A48,'Dairy State Manure Mgmt'!$B$3:$I$52,2,FALSE)+VLOOKUP(A48,'Dairy State Manure Mgmt'!$B$3:$I$52,3,FALSE)</f>
        <v>8</v>
      </c>
      <c r="S48" s="34">
        <f t="shared" si="0"/>
        <v>0</v>
      </c>
      <c r="T48" s="34">
        <f t="shared" si="1"/>
        <v>100</v>
      </c>
      <c r="U48" s="144">
        <f t="shared" si="10"/>
        <v>164.65494904000002</v>
      </c>
      <c r="V48" s="142">
        <f>(IF(B48="dairy cows",VLOOKUP(A48,'volatile solids and nex'!$B$4:$M$53,7,FALSE)) )</f>
        <v>1255</v>
      </c>
      <c r="W48" s="145">
        <f>IF(B48="dairy cows",VLOOKUP(A48,'volatile solids and nex'!$B$4:$M$54,5,FALSE)*('Dairy Animal Numbers, Mass, Mil'!$K$19/1000) ) * 365</f>
        <v>403.20745423200003</v>
      </c>
      <c r="X48" s="143">
        <f>IF(B48="dairy cows",VLOOKUP(A48,'volatile solids and nex'!$B$4:$P$53,15,FALSE),0)</f>
        <v>69</v>
      </c>
      <c r="Y48" s="33">
        <v>0.17</v>
      </c>
      <c r="Z48" s="34">
        <f>VLOOKUP($A48,'Dairy State Manure Mgmt'!$M$2:$Q$52,3,FALSE)</f>
        <v>83</v>
      </c>
      <c r="AA48" s="34">
        <f>VLOOKUP($A48,'Dairy State Manure Mgmt'!$M$2:$Q$52,4,FALSE)</f>
        <v>1</v>
      </c>
      <c r="AB48" s="34">
        <v>0</v>
      </c>
      <c r="AC48" s="34">
        <v>0</v>
      </c>
      <c r="AD48" s="34">
        <f>VLOOKUP($A48,'Dairy State Manure Mgmt'!$M$2:$Q$52,2,FALSE)+VLOOKUP($A48,'Dairy State Manure Mgmt'!$M$2:$Q$52,5,FALSE)</f>
        <v>17</v>
      </c>
      <c r="AE48" s="146">
        <f t="shared" si="3"/>
        <v>-1</v>
      </c>
      <c r="AF48" s="146">
        <f t="shared" si="4"/>
        <v>101</v>
      </c>
      <c r="AG48" s="147">
        <f t="shared" si="5"/>
        <v>1.5817210023000001</v>
      </c>
      <c r="AH48" s="144">
        <f t="shared" si="6"/>
        <v>0.50817665230491671</v>
      </c>
      <c r="AI48" s="34">
        <f t="shared" si="7"/>
        <v>1.4168000000000001</v>
      </c>
      <c r="AJ48" s="34">
        <f t="shared" si="8"/>
        <v>1.1488500000000001</v>
      </c>
      <c r="AK48" s="148">
        <f>(H48 * 0.26 * 0.01 ) +            (H48 * ( ((VLOOKUP(A48,'avg ann temp, manure EFs'!$B$1:$AA$55,22,FALSE)/100*N48/100)+(VLOOKUP(A48,'avg ann temp, manure EFs'!$B$1:$AA$55,23,FALSE)/100*O48/100)+(VLOOKUP(A48,'avg ann temp, manure EFs'!$B$1:$AA$55,19,FALSE)/100*P48/100)+(0.05*R48/100) )  * 0.0075 ))</f>
        <v>0.77976325000000002</v>
      </c>
      <c r="AL48" s="148">
        <f>(X48 * 0.43 * 0.01 ) +            (X48 * ( ((VLOOKUP(A48,'avg ann temp, manure EFs'!$B$1:$AA$55,22,FALSE)/100*Z48/100)+(VLOOKUP(A48,'avg ann temp, manure EFs'!$B$1:$AA$55,23,FALSE)/100*AA48/100)+(VLOOKUP(A48,'avg ann temp, manure EFs'!$B$1:$AA$55,19,FALSE)/100*AB48/100)+(0.05*AD48/100) )  * 0.0075 ))</f>
        <v>0.36687299999999995</v>
      </c>
      <c r="AM48" s="149">
        <f>(('Dairy Manure Inventory'!U48*'Dairy Manure Inventory'!C48)/1000/1000000)*28</f>
        <v>1.3001154776198405</v>
      </c>
      <c r="AN48" s="149">
        <f>(('Dairy Manure Inventory'!AH48*'Dairy Manure Inventory'!D48)/1000/1000000)*28 + (('Dairy Manure Inventory'!AG48*('Dairy Manure Inventory'!E48+'Dairy Manure Inventory'!F48) )/1000/1000000)*28</f>
        <v>7.6577378507368997E-3</v>
      </c>
      <c r="AO48" s="149">
        <f>(( ('Dairy Manure Inventory'!AI48+'Dairy Manure Inventory'!AK48) * 'Dairy Manure Inventory'!C48)/1000/1000000)*265</f>
        <v>0.16414917167249998</v>
      </c>
      <c r="AP48" s="150">
        <f>(( ('Dairy Manure Inventory'!AJ48+'Dairy Manure Inventory'!AL48) * ('Dairy Manure Inventory'!D48+'Dairy Manure Inventory'!E48+'Dairy Manure Inventory'!F48) /1000/1000000)*265)</f>
        <v>0.10925331384</v>
      </c>
      <c r="AQ48" s="43">
        <f t="shared" si="9"/>
        <v>1.5811757009830774</v>
      </c>
    </row>
    <row r="49" spans="1:43" ht="15.75" customHeight="1">
      <c r="A49" s="110" t="s">
        <v>82</v>
      </c>
      <c r="B49" s="45" t="s">
        <v>147</v>
      </c>
      <c r="C49" s="131">
        <f>VLOOKUP(A49,'Dairy Animal Numbers, Mass, Mil'!$B$4:$H$51,2,FALSE)</f>
        <v>1260000</v>
      </c>
      <c r="D49" s="125">
        <f>VLOOKUP($A49,'Dairy Animal Numbers, Mass, Mil'!$B$4:$F$52,3,FALSE)</f>
        <v>651000</v>
      </c>
      <c r="E49" s="125">
        <f>VLOOKUP($A49,'Dairy Animal Numbers, Mass, Mil'!$B$4:$F$52,4,FALSE)</f>
        <v>201000</v>
      </c>
      <c r="F49" s="125">
        <f>VLOOKUP($A49,'Dairy Animal Numbers, Mass, Mil'!$B$4:$F$52,5,FALSE)</f>
        <v>482000</v>
      </c>
      <c r="G49" s="142">
        <f>IF(B49="dairy cows",VLOOKUP(A49,'volatile solids and nex'!$B$4:$P$53,6,FALSE),0)</f>
        <v>2911</v>
      </c>
      <c r="H49" s="143">
        <f>IF(B49="dairy cows",VLOOKUP(A49,'volatile solids and nex'!$B$4:$P$53,14,FALSE),0)</f>
        <v>162</v>
      </c>
      <c r="I49" s="120">
        <v>0.24</v>
      </c>
      <c r="J49" s="33">
        <f>VLOOKUP(A49,'avg ann temp, manure EFs'!$B$3:$J$52,6,FALSE)</f>
        <v>1</v>
      </c>
      <c r="K49" s="33">
        <f>VLOOKUP(A49,'avg ann temp, manure EFs'!$B$3:$J$52,5,FALSE)</f>
        <v>23</v>
      </c>
      <c r="L49" s="33">
        <f>VLOOKUP(A49,'avg ann temp, manure EFs'!$B$3:$J$52,4,FALSE)</f>
        <v>67</v>
      </c>
      <c r="M49" s="33">
        <f>VLOOKUP(A49,'avg ann temp, manure EFs'!$B$3:$J$52,9,FALSE)</f>
        <v>50</v>
      </c>
      <c r="N49" s="33">
        <f>VLOOKUP(A49,'Dairy State Manure Mgmt'!$B$3:$I$52,4,FALSE)+VLOOKUP(A49,'Dairy State Manure Mgmt'!$B$3:$I$52,5,FALSE)</f>
        <v>24</v>
      </c>
      <c r="O49" s="33">
        <f>+VLOOKUP(A49,'Dairy State Manure Mgmt'!$B$3:$I$52,6,FALSE)+VLOOKUP(A49,'Dairy State Manure Mgmt'!$B$3:$I$52,8,FALSE)</f>
        <v>29</v>
      </c>
      <c r="P49" s="33">
        <f>+VLOOKUP(A49,'Dairy State Manure Mgmt'!$B$3:$I$52,7,FALSE)</f>
        <v>27</v>
      </c>
      <c r="Q49" s="33">
        <v>0</v>
      </c>
      <c r="R49" s="34">
        <f>VLOOKUP(A49,'Dairy State Manure Mgmt'!$B$3:$I$52,2,FALSE)+VLOOKUP(A49,'Dairy State Manure Mgmt'!$B$3:$I$52,3,FALSE)</f>
        <v>20</v>
      </c>
      <c r="S49" s="34">
        <f t="shared" si="0"/>
        <v>0</v>
      </c>
      <c r="T49" s="34">
        <f t="shared" si="1"/>
        <v>100</v>
      </c>
      <c r="U49" s="144">
        <f>0.662*G49*I49*((J49/100*N49/100)+(K49/100*O49/100)+(L49/100*P49/100)+(M49/100*Q49/100))+(0.045*R49/100)</f>
        <v>115.63392</v>
      </c>
      <c r="V49" s="142">
        <f>(IF(B49="dairy cows",VLOOKUP(A49,'volatile solids and nex'!$B$4:$M$53,7,FALSE)) )</f>
        <v>1255</v>
      </c>
      <c r="W49" s="145">
        <f>IF(B49="dairy cows",VLOOKUP(A49,'volatile solids and nex'!$B$4:$M$54,5,FALSE)*('Dairy Animal Numbers, Mass, Mil'!$K$19/1000) ) * 365</f>
        <v>308.88730695600003</v>
      </c>
      <c r="X49" s="143">
        <f>IF(B49="dairy cows",VLOOKUP(A49,'volatile solids and nex'!$B$4:$P$53,15,FALSE),0)</f>
        <v>69</v>
      </c>
      <c r="Y49" s="33">
        <v>0.17</v>
      </c>
      <c r="Z49" s="34">
        <f>VLOOKUP($A49,'Dairy State Manure Mgmt'!$M$2:$Q$52,3,FALSE)</f>
        <v>82</v>
      </c>
      <c r="AA49" s="34">
        <f>VLOOKUP($A49,'Dairy State Manure Mgmt'!$M$2:$Q$52,4,FALSE)</f>
        <v>0</v>
      </c>
      <c r="AB49" s="34">
        <v>0</v>
      </c>
      <c r="AC49" s="34">
        <v>0</v>
      </c>
      <c r="AD49" s="34">
        <f>VLOOKUP($A49,'Dairy State Manure Mgmt'!$M$2:$Q$52,2,FALSE)+VLOOKUP($A49,'Dairy State Manure Mgmt'!$M$2:$Q$52,5,FALSE)</f>
        <v>19</v>
      </c>
      <c r="AE49" s="146">
        <f t="shared" si="3"/>
        <v>-1</v>
      </c>
      <c r="AF49" s="146">
        <f t="shared" si="4"/>
        <v>101</v>
      </c>
      <c r="AG49" s="147">
        <f t="shared" si="5"/>
        <v>1.2842744061000004</v>
      </c>
      <c r="AH49" s="144">
        <f t="shared" si="6"/>
        <v>0.31609248023326325</v>
      </c>
      <c r="AI49" s="34">
        <f t="shared" si="7"/>
        <v>1.2311999999999999</v>
      </c>
      <c r="AJ49" s="34">
        <f t="shared" si="8"/>
        <v>1.1316000000000002</v>
      </c>
      <c r="AK49" s="148">
        <f>(H49 * 0.26 * 0.01 ) +            (H49 * ( ((VLOOKUP(A49,'avg ann temp, manure EFs'!$B$1:$AA$55,22,FALSE)/100*N49/100)+(VLOOKUP(A49,'avg ann temp, manure EFs'!$B$1:$AA$55,23,FALSE)/100*O49/100)+(VLOOKUP(A49,'avg ann temp, manure EFs'!$B$1:$AA$55,19,FALSE)/100*P49/100)+(0.05*R49/100) )  * 0.0075 ))</f>
        <v>0.70976250000000007</v>
      </c>
      <c r="AL49" s="148">
        <f>(X49 * 0.43 * 0.01 ) +            (X49 * ( ((VLOOKUP(A49,'avg ann temp, manure EFs'!$B$1:$AA$55,22,FALSE)/100*Z49/100)+(VLOOKUP(A49,'avg ann temp, manure EFs'!$B$1:$AA$55,23,FALSE)/100*AA49/100)+(VLOOKUP(A49,'avg ann temp, manure EFs'!$B$1:$AA$55,19,FALSE)/100*AB49/100)+(0.05*AD49/100) )  * 0.0075 ))</f>
        <v>0.36526874999999992</v>
      </c>
      <c r="AM49" s="149">
        <f>(('Dairy Manure Inventory'!U49*'Dairy Manure Inventory'!C49)/1000/1000000)*28</f>
        <v>4.0795646976000004</v>
      </c>
      <c r="AN49" s="149">
        <f>(('Dairy Manure Inventory'!AH49*'Dairy Manure Inventory'!D49)/1000/1000000)*28 + (('Dairy Manure Inventory'!AG49*('Dairy Manure Inventory'!E49+'Dairy Manure Inventory'!F49) )/1000/1000000)*28</f>
        <v>3.0322197471948333E-2</v>
      </c>
      <c r="AO49" s="149">
        <f>(( ('Dairy Manure Inventory'!AI49+'Dairy Manure Inventory'!AK49) * 'Dairy Manure Inventory'!C49)/1000/1000000)*265</f>
        <v>0.64808737875</v>
      </c>
      <c r="AP49" s="150">
        <f>(( ('Dairy Manure Inventory'!AJ49+'Dairy Manure Inventory'!AL49) * ('Dairy Manure Inventory'!D49+'Dairy Manure Inventory'!E49+'Dairy Manure Inventory'!F49) /1000/1000000)*265)</f>
        <v>0.52915807181249996</v>
      </c>
      <c r="AQ49" s="43">
        <f t="shared" si="9"/>
        <v>5.2871323456344479</v>
      </c>
    </row>
    <row r="50" spans="1:43" ht="15.75" customHeight="1">
      <c r="A50" s="110" t="s">
        <v>83</v>
      </c>
      <c r="B50" s="45" t="s">
        <v>147</v>
      </c>
      <c r="C50" s="131">
        <f>VLOOKUP(A50,'Dairy Animal Numbers, Mass, Mil'!$B$4:$H$51,2,FALSE)</f>
        <v>6000</v>
      </c>
      <c r="D50" s="125">
        <f>VLOOKUP($A50,'Dairy Animal Numbers, Mass, Mil'!$B$4:$F$52,3,FALSE)</f>
        <v>3000</v>
      </c>
      <c r="E50" s="125">
        <f>VLOOKUP($A50,'Dairy Animal Numbers, Mass, Mil'!$B$4:$F$52,4,FALSE)</f>
        <v>1000</v>
      </c>
      <c r="F50" s="125">
        <f>VLOOKUP($A50,'Dairy Animal Numbers, Mass, Mil'!$B$4:$F$52,5,FALSE)</f>
        <v>2000</v>
      </c>
      <c r="G50" s="142">
        <f>IF(B50="dairy cows",VLOOKUP(A50,'volatile solids and nex'!$B$4:$P$53,6,FALSE),0)</f>
        <v>2200</v>
      </c>
      <c r="H50" s="143">
        <f>IF(B50="dairy cows",VLOOKUP(A50,'volatile solids and nex'!$B$4:$P$53,14,FALSE),0)</f>
        <v>131</v>
      </c>
      <c r="I50" s="120">
        <v>0.24</v>
      </c>
      <c r="J50" s="33">
        <f>VLOOKUP(A50,'avg ann temp, manure EFs'!$B$3:$J$52,6,FALSE)</f>
        <v>1</v>
      </c>
      <c r="K50" s="33">
        <f>VLOOKUP(A50,'avg ann temp, manure EFs'!$B$3:$J$52,5,FALSE)</f>
        <v>27</v>
      </c>
      <c r="L50" s="33">
        <f>VLOOKUP(A50,'avg ann temp, manure EFs'!$B$3:$J$52,4,FALSE)</f>
        <v>71</v>
      </c>
      <c r="M50" s="33">
        <f>VLOOKUP(A50,'avg ann temp, manure EFs'!$B$3:$J$52,9,FALSE)</f>
        <v>50</v>
      </c>
      <c r="N50" s="33">
        <f>VLOOKUP(A50,'Dairy State Manure Mgmt'!$B$3:$I$52,4,FALSE)+VLOOKUP(A50,'Dairy State Manure Mgmt'!$B$3:$I$52,5,FALSE)</f>
        <v>17</v>
      </c>
      <c r="O50" s="33">
        <f>+VLOOKUP(A50,'Dairy State Manure Mgmt'!$B$3:$I$52,6,FALSE)+VLOOKUP(A50,'Dairy State Manure Mgmt'!$B$3:$I$52,8,FALSE)</f>
        <v>35</v>
      </c>
      <c r="P50" s="33">
        <f>+VLOOKUP(A50,'Dairy State Manure Mgmt'!$B$3:$I$52,7,FALSE)</f>
        <v>13</v>
      </c>
      <c r="Q50" s="33">
        <v>0</v>
      </c>
      <c r="R50" s="34">
        <f>VLOOKUP(A50,'Dairy State Manure Mgmt'!$B$3:$I$52,2,FALSE)+VLOOKUP(A50,'Dairy State Manure Mgmt'!$B$3:$I$52,3,FALSE)</f>
        <v>35</v>
      </c>
      <c r="S50" s="34">
        <f t="shared" si="0"/>
        <v>0</v>
      </c>
      <c r="T50" s="34">
        <f t="shared" si="1"/>
        <v>100</v>
      </c>
      <c r="U50" s="144">
        <f t="shared" ref="U50:U51" si="11">0.662*G50*I50*((J50/100*N50/100)+(K50/100*O50/100)+(L50/100*P50/100)+(M50/100*Q50/100))+(0.0047*R50/100)</f>
        <v>65.889180999999994</v>
      </c>
      <c r="V50" s="142">
        <f>(IF(B50="dairy cows",VLOOKUP(A50,'volatile solids and nex'!$B$4:$M$53,7,FALSE)) )</f>
        <v>1255</v>
      </c>
      <c r="W50" s="145">
        <f>IF(B50="dairy cows",VLOOKUP(A50,'volatile solids and nex'!$B$4:$M$54,5,FALSE)*('Dairy Animal Numbers, Mass, Mil'!$K$19/1000) ) * 365</f>
        <v>308.44029204000003</v>
      </c>
      <c r="X50" s="143">
        <f>IF(B50="dairy cows",VLOOKUP(A50,'volatile solids and nex'!$B$4:$P$53,15,FALSE),0)</f>
        <v>69</v>
      </c>
      <c r="Y50" s="33">
        <v>0.17</v>
      </c>
      <c r="Z50" s="34">
        <f>VLOOKUP($A50,'Dairy State Manure Mgmt'!$M$2:$Q$52,3,FALSE)</f>
        <v>48</v>
      </c>
      <c r="AA50" s="34">
        <f>VLOOKUP($A50,'Dairy State Manure Mgmt'!$M$2:$Q$52,4,FALSE)</f>
        <v>0</v>
      </c>
      <c r="AB50" s="34">
        <v>0</v>
      </c>
      <c r="AC50" s="34">
        <v>0</v>
      </c>
      <c r="AD50" s="34">
        <f>VLOOKUP($A50,'Dairy State Manure Mgmt'!$M$2:$Q$52,2,FALSE)+VLOOKUP($A50,'Dairy State Manure Mgmt'!$M$2:$Q$52,5,FALSE)</f>
        <v>52</v>
      </c>
      <c r="AE50" s="146">
        <f t="shared" si="3"/>
        <v>0</v>
      </c>
      <c r="AF50" s="146">
        <f t="shared" si="4"/>
        <v>100</v>
      </c>
      <c r="AG50" s="147">
        <f t="shared" si="5"/>
        <v>1.0231258988</v>
      </c>
      <c r="AH50" s="144">
        <f t="shared" si="6"/>
        <v>0.25145278965701956</v>
      </c>
      <c r="AI50" s="34">
        <f t="shared" si="7"/>
        <v>0.75979999999999992</v>
      </c>
      <c r="AJ50" s="34">
        <f t="shared" si="8"/>
        <v>0.66239999999999999</v>
      </c>
      <c r="AK50" s="148">
        <f>(H50 * 0.26 * 0.01 ) +            (H50 * ( ((VLOOKUP(A50,'avg ann temp, manure EFs'!$B$1:$AA$55,22,FALSE)/100*N50/100)+(VLOOKUP(A50,'avg ann temp, manure EFs'!$B$1:$AA$55,23,FALSE)/100*O50/100)+(VLOOKUP(A50,'avg ann temp, manure EFs'!$B$1:$AA$55,19,FALSE)/100*P50/100)+(0.05*R50/100) )  * 0.0075 ))</f>
        <v>0.52717674999999997</v>
      </c>
      <c r="AL50" s="148">
        <f>(X50 * 0.43 * 0.01 ) +            (X50 * ( ((VLOOKUP(A50,'avg ann temp, manure EFs'!$B$1:$AA$55,22,FALSE)/100*Z50/100)+(VLOOKUP(A50,'avg ann temp, manure EFs'!$B$1:$AA$55,23,FALSE)/100*AA50/100)+(VLOOKUP(A50,'avg ann temp, manure EFs'!$B$1:$AA$55,19,FALSE)/100*AB50/100)+(0.05*AD50/100) )  * 0.0075 ))</f>
        <v>0.34741499999999997</v>
      </c>
      <c r="AM50" s="149">
        <f>(('Dairy Manure Inventory'!U50*'Dairy Manure Inventory'!C50)/1000/1000000)*28</f>
        <v>1.1069382407999999E-2</v>
      </c>
      <c r="AN50" s="149">
        <f>(('Dairy Manure Inventory'!AH50*'Dairy Manure Inventory'!D50)/1000/1000000)*28 + (('Dairy Manure Inventory'!AG50*('Dairy Manure Inventory'!E50+'Dairy Manure Inventory'!F50) )/1000/1000000)*28</f>
        <v>1.0706460983038964E-4</v>
      </c>
      <c r="AO50" s="149">
        <f>(( ('Dairy Manure Inventory'!AI50+'Dairy Manure Inventory'!AK50) * 'Dairy Manure Inventory'!C50)/1000/1000000)*265</f>
        <v>2.0462930324999999E-3</v>
      </c>
      <c r="AP50" s="150">
        <f>(( ('Dairy Manure Inventory'!AJ50+'Dairy Manure Inventory'!AL50) * ('Dairy Manure Inventory'!D50+'Dairy Manure Inventory'!E50+'Dairy Manure Inventory'!F50) /1000/1000000)*265)</f>
        <v>1.6056058499999998E-3</v>
      </c>
      <c r="AQ50" s="43">
        <f t="shared" si="9"/>
        <v>1.482834590033039E-2</v>
      </c>
    </row>
    <row r="51" spans="1:43" ht="15.75" customHeight="1">
      <c r="A51" s="110" t="s">
        <v>84</v>
      </c>
      <c r="B51" s="45" t="s">
        <v>147</v>
      </c>
      <c r="C51" s="131">
        <f>VLOOKUP(A51,'Dairy Animal Numbers, Mass, Mil'!$B$4:$H$51,2,FALSE)</f>
        <v>6000</v>
      </c>
      <c r="D51" s="125">
        <f>VLOOKUP($A51,'Dairy Animal Numbers, Mass, Mil'!$B$4:$F$52,3,FALSE)</f>
        <v>3000</v>
      </c>
      <c r="E51" s="125">
        <f>VLOOKUP($A51,'Dairy Animal Numbers, Mass, Mil'!$B$4:$F$52,4,FALSE)</f>
        <v>1000</v>
      </c>
      <c r="F51" s="125">
        <f>VLOOKUP($A51,'Dairy Animal Numbers, Mass, Mil'!$B$4:$F$52,5,FALSE)</f>
        <v>3000</v>
      </c>
      <c r="G51" s="151">
        <f>IF(B51="dairy cows",VLOOKUP(A51,'volatile solids and nex'!$B$4:$P$53,6,FALSE),0)</f>
        <v>2968</v>
      </c>
      <c r="H51" s="143">
        <f>IF(B51="dairy cows",VLOOKUP(A51,'volatile solids and nex'!$B$4:$P$53,14,FALSE),0)</f>
        <v>164</v>
      </c>
      <c r="I51" s="152">
        <v>0.24</v>
      </c>
      <c r="J51" s="89">
        <f>VLOOKUP(A51,'avg ann temp, manure EFs'!$B$3:$J$52,6,FALSE)</f>
        <v>1</v>
      </c>
      <c r="K51" s="89">
        <f>VLOOKUP(A51,'avg ann temp, manure EFs'!$B$3:$J$52,5,FALSE)</f>
        <v>20</v>
      </c>
      <c r="L51" s="89">
        <f>VLOOKUP(A51,'avg ann temp, manure EFs'!$B$3:$J$52,4,FALSE)</f>
        <v>62</v>
      </c>
      <c r="M51" s="89">
        <f>VLOOKUP(A51,'avg ann temp, manure EFs'!$B$3:$J$52,9,FALSE)</f>
        <v>50</v>
      </c>
      <c r="N51" s="89">
        <f>VLOOKUP(A51,'Dairy State Manure Mgmt'!$B$3:$I$52,4,FALSE)+VLOOKUP(A51,'Dairy State Manure Mgmt'!$B$3:$I$52,5,FALSE)</f>
        <v>18</v>
      </c>
      <c r="O51" s="89">
        <f>+VLOOKUP(A51,'Dairy State Manure Mgmt'!$B$3:$I$52,6,FALSE)+VLOOKUP(A51,'Dairy State Manure Mgmt'!$B$3:$I$52,8,FALSE)</f>
        <v>17</v>
      </c>
      <c r="P51" s="89">
        <f>+VLOOKUP(A51,'Dairy State Manure Mgmt'!$B$3:$I$52,7,FALSE)</f>
        <v>49</v>
      </c>
      <c r="Q51" s="89">
        <v>0</v>
      </c>
      <c r="R51" s="153">
        <f>VLOOKUP(A51,'Dairy State Manure Mgmt'!$B$3:$I$52,2,FALSE)+VLOOKUP(A51,'Dairy State Manure Mgmt'!$B$3:$I$52,3,FALSE)</f>
        <v>16</v>
      </c>
      <c r="S51" s="153">
        <f t="shared" si="0"/>
        <v>0</v>
      </c>
      <c r="T51" s="153">
        <f t="shared" si="1"/>
        <v>100</v>
      </c>
      <c r="U51" s="144">
        <f t="shared" si="11"/>
        <v>160.14111526400001</v>
      </c>
      <c r="V51" s="151">
        <f>(IF(B51="dairy cows",VLOOKUP(A51,'volatile solids and nex'!$B$4:$M$53,7,FALSE)) )</f>
        <v>1255</v>
      </c>
      <c r="W51" s="154">
        <f>IF(B51="dairy cows",VLOOKUP(A51,'volatile solids and nex'!$B$4:$M$54,5,FALSE)*('Dairy Animal Numbers, Mass, Mil'!$K$19/1000) ) * 365</f>
        <v>288.77163573600001</v>
      </c>
      <c r="X51" s="143">
        <f>IF(B51="dairy cows",VLOOKUP(A51,'volatile solids and nex'!$B$4:$P$53,15,FALSE),0)</f>
        <v>69</v>
      </c>
      <c r="Y51" s="89">
        <v>0.17</v>
      </c>
      <c r="Z51" s="153">
        <f>VLOOKUP($A51,'Dairy State Manure Mgmt'!$M$2:$Q$52,3,FALSE)</f>
        <v>81</v>
      </c>
      <c r="AA51" s="153">
        <f>VLOOKUP($A51,'Dairy State Manure Mgmt'!$M$2:$Q$52,4,FALSE)</f>
        <v>0</v>
      </c>
      <c r="AB51" s="153">
        <v>0</v>
      </c>
      <c r="AC51" s="153">
        <v>0</v>
      </c>
      <c r="AD51" s="153">
        <f>VLOOKUP($A51,'Dairy State Manure Mgmt'!$M$2:$Q$52,2,FALSE)+VLOOKUP($A51,'Dairy State Manure Mgmt'!$M$2:$Q$52,5,FALSE)</f>
        <v>19</v>
      </c>
      <c r="AE51" s="155">
        <f t="shared" si="3"/>
        <v>0</v>
      </c>
      <c r="AF51" s="155">
        <f t="shared" si="4"/>
        <v>100</v>
      </c>
      <c r="AG51" s="147">
        <f t="shared" si="5"/>
        <v>1.2701506361000003</v>
      </c>
      <c r="AH51" s="144">
        <f t="shared" si="6"/>
        <v>0.29225775045236496</v>
      </c>
      <c r="AI51" s="34">
        <f t="shared" si="7"/>
        <v>1.1315999999999999</v>
      </c>
      <c r="AJ51" s="34">
        <f t="shared" si="8"/>
        <v>1.1178000000000001</v>
      </c>
      <c r="AK51" s="148">
        <f>(H51 * 0.26 * 0.01 ) +            (H51 * ( ((VLOOKUP(A51,'avg ann temp, manure EFs'!$B$1:$AA$55,22,FALSE)/100*N51/100)+(VLOOKUP(A51,'avg ann temp, manure EFs'!$B$1:$AA$55,23,FALSE)/100*O51/100)+(VLOOKUP(A51,'avg ann temp, manure EFs'!$B$1:$AA$55,19,FALSE)/100*P51/100)+(0.05*R51/100) )  * 0.0075 ))</f>
        <v>0.78297700000000003</v>
      </c>
      <c r="AL51" s="148">
        <f>(X51 * 0.43 * 0.01 ) +            (X51 * ( ((VLOOKUP(A51,'avg ann temp, manure EFs'!$B$1:$AA$55,22,FALSE)/100*Z51/100)+(VLOOKUP(A51,'avg ann temp, manure EFs'!$B$1:$AA$55,23,FALSE)/100*AA51/100)+(VLOOKUP(A51,'avg ann temp, manure EFs'!$B$1:$AA$55,19,FALSE)/100*AB51/100)+(0.05*AD51/100) )  * 0.0075 ))</f>
        <v>0.3644925</v>
      </c>
      <c r="AM51" s="149">
        <f>(('Dairy Manure Inventory'!U51*'Dairy Manure Inventory'!C51)/1000/1000000)*28</f>
        <v>2.6903707364352002E-2</v>
      </c>
      <c r="AN51" s="149">
        <f>(('Dairy Manure Inventory'!AH51*'Dairy Manure Inventory'!D51)/1000/1000000)*28 + (('Dairy Manure Inventory'!AG51*('Dairy Manure Inventory'!E51+'Dairy Manure Inventory'!F51) )/1000/1000000)*28</f>
        <v>1.6680652228119868E-4</v>
      </c>
      <c r="AO51" s="149">
        <f>(( ('Dairy Manure Inventory'!AI51+'Dairy Manure Inventory'!AK51) * 'Dairy Manure Inventory'!C51)/1000/1000000)*265</f>
        <v>3.0441774299999999E-3</v>
      </c>
      <c r="AP51" s="150">
        <f>(( ('Dairy Manure Inventory'!AJ51+'Dairy Manure Inventory'!AL51) * ('Dairy Manure Inventory'!D51+'Dairy Manure Inventory'!E51+'Dairy Manure Inventory'!F51) /1000/1000000)*265)</f>
        <v>2.7496525875000005E-3</v>
      </c>
      <c r="AQ51" s="43">
        <f t="shared" si="9"/>
        <v>3.2864343904133203E-2</v>
      </c>
    </row>
    <row r="52" spans="1:43" ht="15.75" customHeight="1">
      <c r="A52" s="44"/>
      <c r="B52" s="45"/>
      <c r="C52" s="45"/>
      <c r="D52" s="45"/>
      <c r="E52" s="45"/>
      <c r="F52" s="45"/>
      <c r="G52" s="45"/>
      <c r="H52" s="45"/>
      <c r="I52" s="45"/>
      <c r="J52" s="45"/>
      <c r="K52" s="45"/>
      <c r="L52" s="45"/>
      <c r="M52" s="45"/>
      <c r="N52" s="45"/>
      <c r="O52" s="45"/>
      <c r="P52" s="45"/>
      <c r="Q52" s="45"/>
      <c r="R52" s="45"/>
      <c r="S52" s="45"/>
      <c r="T52" s="45"/>
      <c r="U52" s="33"/>
      <c r="V52" s="45"/>
      <c r="W52" s="45"/>
      <c r="X52" s="45"/>
      <c r="Y52" s="45"/>
      <c r="Z52" s="45"/>
      <c r="AA52" s="45"/>
      <c r="AB52" s="45"/>
      <c r="AC52" s="45"/>
      <c r="AD52" s="45"/>
      <c r="AE52" s="45"/>
      <c r="AF52" s="45"/>
      <c r="AG52" s="132"/>
      <c r="AH52" s="132"/>
      <c r="AI52" s="45"/>
      <c r="AJ52" s="45"/>
      <c r="AK52" s="45"/>
      <c r="AL52" s="45"/>
      <c r="AQ52" s="114"/>
    </row>
    <row r="53" spans="1:43" ht="15.75" customHeight="1">
      <c r="A53" s="44"/>
      <c r="B53" s="45"/>
      <c r="C53" s="45"/>
      <c r="D53" s="45"/>
      <c r="E53" s="45"/>
      <c r="F53" s="45"/>
      <c r="G53" s="45"/>
      <c r="H53" s="45"/>
      <c r="I53" s="45"/>
      <c r="J53" s="45"/>
      <c r="K53" s="45"/>
      <c r="L53" s="45"/>
      <c r="M53" s="45"/>
      <c r="N53" s="45"/>
      <c r="O53" s="45"/>
      <c r="P53" s="45"/>
      <c r="Q53" s="45"/>
      <c r="R53" s="45"/>
      <c r="S53" s="45"/>
      <c r="T53" s="45"/>
      <c r="U53" s="33"/>
      <c r="V53" s="45"/>
      <c r="W53" s="45"/>
      <c r="X53" s="45"/>
      <c r="Y53" s="45"/>
      <c r="Z53" s="45"/>
      <c r="AA53" s="45"/>
      <c r="AB53" s="45"/>
      <c r="AC53" s="45"/>
      <c r="AD53" s="45"/>
      <c r="AE53" s="45"/>
      <c r="AF53" s="45"/>
      <c r="AG53" s="132"/>
      <c r="AH53" s="132"/>
      <c r="AI53" s="45"/>
      <c r="AJ53" s="45"/>
      <c r="AK53" s="45"/>
      <c r="AL53" s="45"/>
      <c r="AM53" s="45"/>
      <c r="AN53" s="45"/>
      <c r="AO53" s="45"/>
      <c r="AP53" s="45"/>
      <c r="AQ53" s="114"/>
    </row>
    <row r="54" spans="1:43" ht="15.75" customHeight="1">
      <c r="A54" s="44"/>
      <c r="B54" s="45"/>
      <c r="C54" s="45"/>
      <c r="D54" s="45"/>
      <c r="E54" s="45"/>
      <c r="F54" s="45"/>
      <c r="G54" s="45"/>
      <c r="H54" s="45"/>
      <c r="I54" s="45"/>
      <c r="J54" s="45"/>
      <c r="K54" s="45"/>
      <c r="L54" s="45"/>
      <c r="M54" s="45"/>
      <c r="N54" s="45"/>
      <c r="O54" s="45"/>
      <c r="P54" s="45"/>
      <c r="Q54" s="45"/>
      <c r="R54" s="45"/>
      <c r="S54" s="45"/>
      <c r="T54" s="45"/>
      <c r="U54" s="33"/>
      <c r="V54" s="45"/>
      <c r="W54" s="45"/>
      <c r="X54" s="45"/>
      <c r="Y54" s="45"/>
      <c r="Z54" s="45"/>
      <c r="AA54" s="45"/>
      <c r="AB54" s="45"/>
      <c r="AC54" s="45"/>
      <c r="AD54" s="45"/>
      <c r="AE54" s="45"/>
      <c r="AF54" s="45"/>
      <c r="AG54" s="132"/>
      <c r="AH54" s="132"/>
      <c r="AI54" s="45"/>
      <c r="AJ54" s="45"/>
      <c r="AK54" s="45"/>
      <c r="AL54" s="45"/>
      <c r="AM54" s="45"/>
      <c r="AN54" s="45"/>
      <c r="AO54" s="45"/>
      <c r="AP54" s="45"/>
      <c r="AQ54" s="114"/>
    </row>
    <row r="55" spans="1:43" ht="15.75" customHeight="1">
      <c r="A55" s="44"/>
      <c r="B55" s="45"/>
      <c r="C55" s="45"/>
      <c r="D55" s="45"/>
      <c r="E55" s="45"/>
      <c r="F55" s="45"/>
      <c r="G55" s="45"/>
      <c r="H55" s="45"/>
      <c r="I55" s="45"/>
      <c r="J55" s="45"/>
      <c r="K55" s="45"/>
      <c r="L55" s="45"/>
      <c r="M55" s="45"/>
      <c r="N55" s="45"/>
      <c r="O55" s="45"/>
      <c r="P55" s="45"/>
      <c r="Q55" s="45"/>
      <c r="R55" s="45"/>
      <c r="S55" s="45"/>
      <c r="T55" s="45"/>
      <c r="U55" s="33"/>
      <c r="V55" s="45"/>
      <c r="W55" s="45"/>
      <c r="X55" s="45"/>
      <c r="Y55" s="45"/>
      <c r="Z55" s="45"/>
      <c r="AA55" s="45"/>
      <c r="AB55" s="45"/>
      <c r="AC55" s="45"/>
      <c r="AD55" s="45"/>
      <c r="AE55" s="45"/>
      <c r="AF55" s="45"/>
      <c r="AG55" s="132"/>
      <c r="AH55" s="132"/>
      <c r="AI55" s="45"/>
      <c r="AJ55" s="45"/>
      <c r="AK55" s="45"/>
      <c r="AL55" s="45"/>
      <c r="AM55" s="45"/>
      <c r="AN55" s="45"/>
      <c r="AO55" s="45"/>
      <c r="AP55" s="45"/>
      <c r="AQ55" s="114"/>
    </row>
    <row r="56" spans="1:43" ht="15.75" customHeight="1">
      <c r="A56" s="44"/>
      <c r="B56" s="45"/>
      <c r="C56" s="45"/>
      <c r="D56" s="45"/>
      <c r="E56" s="45"/>
      <c r="F56" s="45"/>
      <c r="G56" s="45"/>
      <c r="H56" s="45"/>
      <c r="I56" s="45"/>
      <c r="J56" s="45"/>
      <c r="K56" s="45"/>
      <c r="L56" s="45"/>
      <c r="M56" s="45"/>
      <c r="N56" s="45"/>
      <c r="O56" s="45"/>
      <c r="P56" s="45"/>
      <c r="Q56" s="45"/>
      <c r="R56" s="45"/>
      <c r="S56" s="45"/>
      <c r="T56" s="45"/>
      <c r="U56" s="33"/>
      <c r="V56" s="45"/>
      <c r="W56" s="45"/>
      <c r="X56" s="45"/>
      <c r="Y56" s="45"/>
      <c r="Z56" s="45"/>
      <c r="AA56" s="45"/>
      <c r="AB56" s="45"/>
      <c r="AC56" s="45"/>
      <c r="AD56" s="45"/>
      <c r="AE56" s="45"/>
      <c r="AF56" s="45"/>
      <c r="AG56" s="132"/>
      <c r="AH56" s="132"/>
      <c r="AI56" s="45"/>
      <c r="AJ56" s="45"/>
      <c r="AK56" s="45"/>
      <c r="AL56" s="45"/>
      <c r="AM56" s="45"/>
      <c r="AN56" s="45"/>
      <c r="AO56" s="45"/>
      <c r="AP56" s="45"/>
      <c r="AQ56" s="114"/>
    </row>
    <row r="57" spans="1:43" ht="15.75" customHeight="1">
      <c r="A57" s="44"/>
      <c r="B57" s="45"/>
      <c r="C57" s="45"/>
      <c r="D57" s="45"/>
      <c r="E57" s="45"/>
      <c r="F57" s="45"/>
      <c r="G57" s="45"/>
      <c r="H57" s="45"/>
      <c r="I57" s="45"/>
      <c r="J57" s="45"/>
      <c r="K57" s="45"/>
      <c r="L57" s="45"/>
      <c r="M57" s="45"/>
      <c r="N57" s="45"/>
      <c r="O57" s="45"/>
      <c r="P57" s="45"/>
      <c r="Q57" s="45"/>
      <c r="R57" s="45"/>
      <c r="S57" s="45"/>
      <c r="T57" s="45"/>
      <c r="U57" s="33"/>
      <c r="V57" s="45"/>
      <c r="W57" s="45"/>
      <c r="X57" s="45"/>
      <c r="Y57" s="45"/>
      <c r="Z57" s="45"/>
      <c r="AA57" s="45"/>
      <c r="AB57" s="45"/>
      <c r="AC57" s="45"/>
      <c r="AD57" s="45"/>
      <c r="AE57" s="45"/>
      <c r="AF57" s="45"/>
      <c r="AG57" s="132"/>
      <c r="AH57" s="132"/>
      <c r="AI57" s="45"/>
      <c r="AJ57" s="45"/>
      <c r="AK57" s="45"/>
      <c r="AL57" s="45"/>
      <c r="AM57" s="45"/>
      <c r="AN57" s="45"/>
      <c r="AO57" s="45"/>
      <c r="AP57" s="45"/>
      <c r="AQ57" s="114"/>
    </row>
    <row r="58" spans="1:43" ht="15.75" customHeight="1">
      <c r="A58" s="44"/>
      <c r="B58" s="45"/>
      <c r="C58" s="45"/>
      <c r="D58" s="45"/>
      <c r="E58" s="45"/>
      <c r="F58" s="45"/>
      <c r="G58" s="45"/>
      <c r="H58" s="45"/>
      <c r="I58" s="45"/>
      <c r="J58" s="45"/>
      <c r="K58" s="45"/>
      <c r="L58" s="45"/>
      <c r="M58" s="45"/>
      <c r="N58" s="45"/>
      <c r="O58" s="45"/>
      <c r="P58" s="45"/>
      <c r="Q58" s="45"/>
      <c r="R58" s="45"/>
      <c r="S58" s="45"/>
      <c r="T58" s="45"/>
      <c r="U58" s="33"/>
      <c r="V58" s="45"/>
      <c r="W58" s="45"/>
      <c r="X58" s="45"/>
      <c r="Y58" s="45"/>
      <c r="Z58" s="45"/>
      <c r="AA58" s="45"/>
      <c r="AB58" s="45"/>
      <c r="AC58" s="45"/>
      <c r="AD58" s="45"/>
      <c r="AE58" s="45"/>
      <c r="AF58" s="45"/>
      <c r="AG58" s="132"/>
      <c r="AH58" s="132"/>
      <c r="AI58" s="45"/>
      <c r="AJ58" s="45"/>
      <c r="AK58" s="45"/>
      <c r="AL58" s="45"/>
      <c r="AM58" s="45"/>
      <c r="AN58" s="45"/>
      <c r="AO58" s="45"/>
      <c r="AP58" s="45"/>
      <c r="AQ58" s="114"/>
    </row>
    <row r="59" spans="1:43" ht="15.75" customHeight="1">
      <c r="A59" s="44"/>
      <c r="B59" s="45"/>
      <c r="C59" s="45"/>
      <c r="D59" s="45"/>
      <c r="E59" s="45"/>
      <c r="F59" s="45"/>
      <c r="G59" s="45"/>
      <c r="H59" s="45"/>
      <c r="I59" s="45"/>
      <c r="J59" s="45"/>
      <c r="K59" s="45"/>
      <c r="L59" s="45"/>
      <c r="M59" s="45"/>
      <c r="N59" s="45"/>
      <c r="O59" s="45"/>
      <c r="P59" s="45"/>
      <c r="Q59" s="45"/>
      <c r="R59" s="45"/>
      <c r="S59" s="45"/>
      <c r="T59" s="45"/>
      <c r="U59" s="33"/>
      <c r="V59" s="45"/>
      <c r="W59" s="45"/>
      <c r="X59" s="45"/>
      <c r="Y59" s="45"/>
      <c r="Z59" s="45"/>
      <c r="AA59" s="45"/>
      <c r="AB59" s="45"/>
      <c r="AC59" s="45"/>
      <c r="AD59" s="45"/>
      <c r="AE59" s="45"/>
      <c r="AF59" s="45"/>
      <c r="AG59" s="132"/>
      <c r="AH59" s="132"/>
      <c r="AI59" s="45"/>
      <c r="AJ59" s="45"/>
      <c r="AK59" s="45"/>
      <c r="AL59" s="45"/>
      <c r="AM59" s="45"/>
      <c r="AN59" s="45"/>
      <c r="AO59" s="45"/>
      <c r="AP59" s="45"/>
      <c r="AQ59" s="114"/>
    </row>
    <row r="60" spans="1:43" ht="15.75" customHeight="1">
      <c r="A60" s="44"/>
      <c r="B60" s="45"/>
      <c r="C60" s="45"/>
      <c r="D60" s="45"/>
      <c r="E60" s="45"/>
      <c r="F60" s="45"/>
      <c r="G60" s="45"/>
      <c r="H60" s="45"/>
      <c r="I60" s="45"/>
      <c r="J60" s="45"/>
      <c r="K60" s="45"/>
      <c r="L60" s="45"/>
      <c r="M60" s="45"/>
      <c r="N60" s="45"/>
      <c r="O60" s="45"/>
      <c r="P60" s="45"/>
      <c r="Q60" s="45"/>
      <c r="R60" s="45"/>
      <c r="S60" s="45"/>
      <c r="T60" s="45"/>
      <c r="U60" s="33"/>
      <c r="V60" s="45"/>
      <c r="W60" s="45"/>
      <c r="X60" s="45"/>
      <c r="Y60" s="45"/>
      <c r="Z60" s="45"/>
      <c r="AA60" s="45"/>
      <c r="AB60" s="45"/>
      <c r="AC60" s="45"/>
      <c r="AD60" s="45"/>
      <c r="AE60" s="45"/>
      <c r="AF60" s="45"/>
      <c r="AG60" s="132"/>
      <c r="AH60" s="132"/>
      <c r="AI60" s="45"/>
      <c r="AJ60" s="45"/>
      <c r="AK60" s="45"/>
      <c r="AL60" s="45"/>
      <c r="AM60" s="45"/>
      <c r="AN60" s="45"/>
      <c r="AO60" s="45"/>
      <c r="AP60" s="45"/>
      <c r="AQ60" s="114"/>
    </row>
    <row r="61" spans="1:43" ht="15.75" customHeight="1">
      <c r="A61" s="44"/>
      <c r="B61" s="45"/>
      <c r="C61" s="45"/>
      <c r="D61" s="45"/>
      <c r="E61" s="45"/>
      <c r="F61" s="45"/>
      <c r="G61" s="45"/>
      <c r="H61" s="45"/>
      <c r="I61" s="45"/>
      <c r="J61" s="45"/>
      <c r="K61" s="45"/>
      <c r="L61" s="45"/>
      <c r="M61" s="45"/>
      <c r="N61" s="45"/>
      <c r="O61" s="45"/>
      <c r="P61" s="45"/>
      <c r="Q61" s="45"/>
      <c r="R61" s="45"/>
      <c r="S61" s="45"/>
      <c r="T61" s="45"/>
      <c r="U61" s="33"/>
      <c r="V61" s="45"/>
      <c r="W61" s="45"/>
      <c r="X61" s="45"/>
      <c r="Y61" s="45"/>
      <c r="Z61" s="45"/>
      <c r="AA61" s="45"/>
      <c r="AB61" s="45"/>
      <c r="AC61" s="45"/>
      <c r="AD61" s="45"/>
      <c r="AE61" s="45"/>
      <c r="AF61" s="45"/>
      <c r="AG61" s="132"/>
      <c r="AH61" s="132"/>
      <c r="AI61" s="45"/>
      <c r="AJ61" s="45"/>
      <c r="AK61" s="45"/>
      <c r="AL61" s="45"/>
      <c r="AM61" s="45"/>
      <c r="AN61" s="45"/>
      <c r="AO61" s="45"/>
      <c r="AP61" s="45"/>
      <c r="AQ61" s="114"/>
    </row>
    <row r="62" spans="1:43" ht="15.75" customHeight="1">
      <c r="A62" s="44"/>
      <c r="B62" s="45"/>
      <c r="C62" s="45"/>
      <c r="D62" s="45"/>
      <c r="E62" s="45"/>
      <c r="F62" s="45"/>
      <c r="G62" s="45"/>
      <c r="H62" s="45"/>
      <c r="I62" s="45"/>
      <c r="J62" s="45"/>
      <c r="K62" s="45"/>
      <c r="L62" s="45"/>
      <c r="M62" s="45"/>
      <c r="N62" s="45"/>
      <c r="O62" s="45"/>
      <c r="P62" s="45"/>
      <c r="Q62" s="45"/>
      <c r="R62" s="45"/>
      <c r="S62" s="45"/>
      <c r="T62" s="45"/>
      <c r="U62" s="33"/>
      <c r="V62" s="45"/>
      <c r="W62" s="45"/>
      <c r="X62" s="45"/>
      <c r="Y62" s="45"/>
      <c r="Z62" s="45"/>
      <c r="AA62" s="45"/>
      <c r="AB62" s="45"/>
      <c r="AC62" s="45"/>
      <c r="AD62" s="45"/>
      <c r="AE62" s="45"/>
      <c r="AF62" s="45"/>
      <c r="AG62" s="132"/>
      <c r="AH62" s="132"/>
      <c r="AI62" s="45"/>
      <c r="AJ62" s="45"/>
      <c r="AK62" s="45"/>
      <c r="AL62" s="45"/>
      <c r="AM62" s="45"/>
      <c r="AN62" s="45"/>
      <c r="AO62" s="45"/>
      <c r="AP62" s="45"/>
      <c r="AQ62" s="114"/>
    </row>
    <row r="63" spans="1:43" ht="15.75" customHeight="1">
      <c r="A63" s="44"/>
      <c r="B63" s="45"/>
      <c r="C63" s="45"/>
      <c r="D63" s="45"/>
      <c r="E63" s="45"/>
      <c r="F63" s="45"/>
      <c r="G63" s="45"/>
      <c r="H63" s="45"/>
      <c r="I63" s="45"/>
      <c r="J63" s="45"/>
      <c r="K63" s="45"/>
      <c r="L63" s="45"/>
      <c r="M63" s="45"/>
      <c r="N63" s="45"/>
      <c r="O63" s="45"/>
      <c r="P63" s="45"/>
      <c r="Q63" s="45"/>
      <c r="R63" s="45"/>
      <c r="S63" s="45"/>
      <c r="T63" s="45"/>
      <c r="U63" s="33"/>
      <c r="V63" s="45"/>
      <c r="W63" s="45"/>
      <c r="X63" s="45"/>
      <c r="Y63" s="45"/>
      <c r="Z63" s="45"/>
      <c r="AA63" s="45"/>
      <c r="AB63" s="45"/>
      <c r="AC63" s="45"/>
      <c r="AD63" s="45"/>
      <c r="AE63" s="45"/>
      <c r="AF63" s="45"/>
      <c r="AG63" s="132"/>
      <c r="AH63" s="132"/>
      <c r="AI63" s="45"/>
      <c r="AJ63" s="45"/>
      <c r="AK63" s="45"/>
      <c r="AL63" s="45"/>
      <c r="AM63" s="45"/>
      <c r="AN63" s="45"/>
      <c r="AO63" s="45"/>
      <c r="AP63" s="45"/>
      <c r="AQ63" s="114"/>
    </row>
    <row r="64" spans="1:43" ht="15.75" customHeight="1">
      <c r="A64" s="44"/>
      <c r="B64" s="45"/>
      <c r="C64" s="45"/>
      <c r="D64" s="45"/>
      <c r="E64" s="45"/>
      <c r="F64" s="45"/>
      <c r="G64" s="45"/>
      <c r="H64" s="45"/>
      <c r="I64" s="45"/>
      <c r="J64" s="45"/>
      <c r="K64" s="45"/>
      <c r="L64" s="45"/>
      <c r="M64" s="45"/>
      <c r="N64" s="45"/>
      <c r="O64" s="45"/>
      <c r="P64" s="45"/>
      <c r="Q64" s="45"/>
      <c r="R64" s="45"/>
      <c r="S64" s="45"/>
      <c r="T64" s="45"/>
      <c r="U64" s="132"/>
      <c r="V64" s="45"/>
      <c r="W64" s="45"/>
      <c r="X64" s="45"/>
      <c r="Y64" s="45"/>
      <c r="Z64" s="45"/>
      <c r="AA64" s="45"/>
      <c r="AB64" s="45"/>
      <c r="AC64" s="45"/>
      <c r="AD64" s="45"/>
      <c r="AE64" s="45"/>
      <c r="AF64" s="45"/>
      <c r="AG64" s="132"/>
      <c r="AH64" s="132"/>
      <c r="AI64" s="45"/>
      <c r="AJ64" s="45"/>
      <c r="AK64" s="45"/>
      <c r="AL64" s="45"/>
      <c r="AM64" s="45"/>
      <c r="AN64" s="45"/>
      <c r="AO64" s="45"/>
      <c r="AP64" s="45"/>
      <c r="AQ64" s="114"/>
    </row>
    <row r="65" spans="1:43" ht="15.75" customHeight="1">
      <c r="A65" s="44"/>
      <c r="B65" s="45"/>
      <c r="C65" s="45"/>
      <c r="D65" s="45"/>
      <c r="E65" s="45"/>
      <c r="F65" s="45"/>
      <c r="G65" s="45"/>
      <c r="H65" s="45"/>
      <c r="I65" s="45"/>
      <c r="J65" s="45"/>
      <c r="K65" s="45"/>
      <c r="L65" s="45"/>
      <c r="M65" s="45"/>
      <c r="N65" s="45"/>
      <c r="O65" s="45"/>
      <c r="P65" s="45"/>
      <c r="Q65" s="45"/>
      <c r="R65" s="45"/>
      <c r="S65" s="45"/>
      <c r="T65" s="45"/>
      <c r="U65" s="132"/>
      <c r="V65" s="45"/>
      <c r="W65" s="45"/>
      <c r="X65" s="45"/>
      <c r="Y65" s="45"/>
      <c r="Z65" s="45"/>
      <c r="AA65" s="45"/>
      <c r="AB65" s="45"/>
      <c r="AC65" s="45"/>
      <c r="AD65" s="45"/>
      <c r="AE65" s="45"/>
      <c r="AF65" s="45"/>
      <c r="AG65" s="132"/>
      <c r="AH65" s="132"/>
      <c r="AI65" s="45"/>
      <c r="AJ65" s="45"/>
      <c r="AK65" s="45"/>
      <c r="AL65" s="45"/>
      <c r="AM65" s="45"/>
      <c r="AN65" s="45"/>
      <c r="AO65" s="45"/>
      <c r="AP65" s="45"/>
      <c r="AQ65" s="114"/>
    </row>
    <row r="66" spans="1:43" ht="15.75" customHeight="1">
      <c r="A66" s="44"/>
      <c r="B66" s="45"/>
      <c r="C66" s="45"/>
      <c r="D66" s="45"/>
      <c r="E66" s="45"/>
      <c r="F66" s="45"/>
      <c r="G66" s="45"/>
      <c r="H66" s="45"/>
      <c r="I66" s="45"/>
      <c r="J66" s="45"/>
      <c r="K66" s="45"/>
      <c r="L66" s="45"/>
      <c r="M66" s="45"/>
      <c r="N66" s="45"/>
      <c r="O66" s="45"/>
      <c r="P66" s="45"/>
      <c r="Q66" s="45"/>
      <c r="R66" s="45"/>
      <c r="S66" s="45"/>
      <c r="T66" s="45"/>
      <c r="U66" s="132"/>
      <c r="V66" s="45"/>
      <c r="W66" s="45"/>
      <c r="X66" s="45"/>
      <c r="Y66" s="45"/>
      <c r="Z66" s="45"/>
      <c r="AA66" s="45"/>
      <c r="AB66" s="45"/>
      <c r="AC66" s="45"/>
      <c r="AD66" s="45"/>
      <c r="AE66" s="45"/>
      <c r="AF66" s="45"/>
      <c r="AG66" s="132"/>
      <c r="AH66" s="132"/>
      <c r="AI66" s="45"/>
      <c r="AJ66" s="45"/>
      <c r="AK66" s="45"/>
      <c r="AL66" s="45"/>
      <c r="AM66" s="45"/>
      <c r="AN66" s="45"/>
      <c r="AO66" s="45"/>
      <c r="AP66" s="45"/>
      <c r="AQ66" s="114"/>
    </row>
    <row r="67" spans="1:43" ht="15.75" customHeight="1">
      <c r="A67" s="44"/>
      <c r="B67" s="45"/>
      <c r="C67" s="45"/>
      <c r="D67" s="45"/>
      <c r="E67" s="45"/>
      <c r="F67" s="45"/>
      <c r="G67" s="45"/>
      <c r="H67" s="45"/>
      <c r="I67" s="45"/>
      <c r="J67" s="45"/>
      <c r="K67" s="45"/>
      <c r="L67" s="45"/>
      <c r="M67" s="45"/>
      <c r="N67" s="45"/>
      <c r="O67" s="45"/>
      <c r="P67" s="45"/>
      <c r="Q67" s="45"/>
      <c r="R67" s="45"/>
      <c r="S67" s="45"/>
      <c r="T67" s="45"/>
      <c r="U67" s="132"/>
      <c r="V67" s="45"/>
      <c r="W67" s="45"/>
      <c r="X67" s="45"/>
      <c r="Y67" s="45"/>
      <c r="Z67" s="45"/>
      <c r="AA67" s="45"/>
      <c r="AB67" s="45"/>
      <c r="AC67" s="45"/>
      <c r="AD67" s="45"/>
      <c r="AE67" s="45"/>
      <c r="AF67" s="45"/>
      <c r="AG67" s="132"/>
      <c r="AH67" s="132"/>
      <c r="AI67" s="45"/>
      <c r="AJ67" s="45"/>
      <c r="AK67" s="45"/>
      <c r="AL67" s="45"/>
      <c r="AM67" s="45"/>
      <c r="AN67" s="45"/>
      <c r="AO67" s="45"/>
      <c r="AP67" s="45"/>
      <c r="AQ67" s="114"/>
    </row>
    <row r="68" spans="1:43" ht="15.75" customHeight="1">
      <c r="A68" s="44"/>
      <c r="B68" s="45"/>
      <c r="C68" s="45"/>
      <c r="D68" s="45"/>
      <c r="E68" s="45"/>
      <c r="F68" s="45"/>
      <c r="G68" s="45"/>
      <c r="H68" s="45"/>
      <c r="I68" s="45"/>
      <c r="J68" s="45"/>
      <c r="K68" s="45"/>
      <c r="L68" s="45"/>
      <c r="M68" s="45"/>
      <c r="N68" s="45"/>
      <c r="O68" s="45"/>
      <c r="P68" s="45"/>
      <c r="Q68" s="45"/>
      <c r="R68" s="45"/>
      <c r="S68" s="45"/>
      <c r="T68" s="45"/>
      <c r="U68" s="132"/>
      <c r="V68" s="45"/>
      <c r="W68" s="45"/>
      <c r="X68" s="45"/>
      <c r="Y68" s="45"/>
      <c r="Z68" s="45"/>
      <c r="AA68" s="45"/>
      <c r="AB68" s="45"/>
      <c r="AC68" s="45"/>
      <c r="AD68" s="45"/>
      <c r="AE68" s="45"/>
      <c r="AF68" s="45"/>
      <c r="AG68" s="132"/>
      <c r="AH68" s="132"/>
      <c r="AI68" s="45"/>
      <c r="AJ68" s="45"/>
      <c r="AK68" s="45"/>
      <c r="AL68" s="45"/>
      <c r="AM68" s="45"/>
      <c r="AN68" s="45"/>
      <c r="AO68" s="45"/>
      <c r="AP68" s="45"/>
      <c r="AQ68" s="114"/>
    </row>
    <row r="69" spans="1:43" ht="15.75" customHeight="1">
      <c r="A69" s="44"/>
      <c r="B69" s="45"/>
      <c r="C69" s="45"/>
      <c r="D69" s="45"/>
      <c r="E69" s="45"/>
      <c r="F69" s="45"/>
      <c r="G69" s="45"/>
      <c r="H69" s="45"/>
      <c r="I69" s="45"/>
      <c r="J69" s="45"/>
      <c r="K69" s="45"/>
      <c r="L69" s="45"/>
      <c r="M69" s="45"/>
      <c r="N69" s="45"/>
      <c r="O69" s="45"/>
      <c r="P69" s="45"/>
      <c r="Q69" s="45"/>
      <c r="R69" s="45"/>
      <c r="S69" s="45"/>
      <c r="T69" s="45"/>
      <c r="U69" s="132"/>
      <c r="V69" s="45"/>
      <c r="W69" s="45"/>
      <c r="X69" s="45"/>
      <c r="Y69" s="45"/>
      <c r="Z69" s="45"/>
      <c r="AA69" s="45"/>
      <c r="AB69" s="45"/>
      <c r="AC69" s="45"/>
      <c r="AD69" s="45"/>
      <c r="AE69" s="45"/>
      <c r="AF69" s="45"/>
      <c r="AG69" s="132"/>
      <c r="AH69" s="132"/>
      <c r="AI69" s="45"/>
      <c r="AJ69" s="45"/>
      <c r="AK69" s="45"/>
      <c r="AL69" s="45"/>
      <c r="AM69" s="45"/>
      <c r="AN69" s="45"/>
      <c r="AO69" s="45"/>
      <c r="AP69" s="45"/>
      <c r="AQ69" s="114"/>
    </row>
    <row r="70" spans="1:43" ht="15.75" customHeight="1">
      <c r="A70" s="44"/>
      <c r="B70" s="45"/>
      <c r="C70" s="45"/>
      <c r="D70" s="45"/>
      <c r="E70" s="45"/>
      <c r="F70" s="45"/>
      <c r="G70" s="45"/>
      <c r="H70" s="45"/>
      <c r="I70" s="45"/>
      <c r="J70" s="45"/>
      <c r="K70" s="45"/>
      <c r="L70" s="45"/>
      <c r="M70" s="45"/>
      <c r="N70" s="45"/>
      <c r="O70" s="45"/>
      <c r="P70" s="45"/>
      <c r="Q70" s="45"/>
      <c r="R70" s="45"/>
      <c r="S70" s="45"/>
      <c r="T70" s="45"/>
      <c r="U70" s="132"/>
      <c r="V70" s="45"/>
      <c r="W70" s="45"/>
      <c r="X70" s="45"/>
      <c r="Y70" s="45"/>
      <c r="Z70" s="45"/>
      <c r="AA70" s="45"/>
      <c r="AB70" s="45"/>
      <c r="AC70" s="45"/>
      <c r="AD70" s="45"/>
      <c r="AE70" s="45"/>
      <c r="AF70" s="45"/>
      <c r="AG70" s="132"/>
      <c r="AH70" s="132"/>
      <c r="AI70" s="45"/>
      <c r="AJ70" s="45"/>
      <c r="AK70" s="45"/>
      <c r="AL70" s="45"/>
      <c r="AM70" s="45"/>
      <c r="AN70" s="45"/>
      <c r="AO70" s="45"/>
      <c r="AP70" s="45"/>
      <c r="AQ70" s="114"/>
    </row>
    <row r="71" spans="1:43" ht="15.75" customHeight="1">
      <c r="A71" s="44"/>
      <c r="B71" s="45"/>
      <c r="C71" s="45"/>
      <c r="D71" s="45"/>
      <c r="E71" s="45"/>
      <c r="F71" s="45"/>
      <c r="G71" s="45"/>
      <c r="H71" s="45"/>
      <c r="I71" s="45"/>
      <c r="J71" s="45"/>
      <c r="K71" s="45"/>
      <c r="L71" s="45"/>
      <c r="M71" s="45"/>
      <c r="N71" s="45"/>
      <c r="O71" s="45"/>
      <c r="P71" s="45"/>
      <c r="Q71" s="45"/>
      <c r="R71" s="45"/>
      <c r="S71" s="45"/>
      <c r="T71" s="45"/>
      <c r="U71" s="132"/>
      <c r="V71" s="45"/>
      <c r="W71" s="45"/>
      <c r="X71" s="45"/>
      <c r="Y71" s="45"/>
      <c r="Z71" s="45"/>
      <c r="AA71" s="45"/>
      <c r="AB71" s="45"/>
      <c r="AC71" s="45"/>
      <c r="AD71" s="45"/>
      <c r="AE71" s="45"/>
      <c r="AF71" s="45"/>
      <c r="AG71" s="132"/>
      <c r="AH71" s="132"/>
      <c r="AI71" s="45"/>
      <c r="AJ71" s="45"/>
      <c r="AK71" s="45"/>
      <c r="AL71" s="45"/>
      <c r="AM71" s="45"/>
      <c r="AN71" s="45"/>
      <c r="AO71" s="45"/>
      <c r="AP71" s="45"/>
      <c r="AQ71" s="114"/>
    </row>
    <row r="72" spans="1:43" ht="15.75" customHeight="1">
      <c r="A72" s="44"/>
      <c r="B72" s="45"/>
      <c r="C72" s="45"/>
      <c r="D72" s="45"/>
      <c r="E72" s="45"/>
      <c r="F72" s="45"/>
      <c r="G72" s="45"/>
      <c r="H72" s="45"/>
      <c r="I72" s="45"/>
      <c r="J72" s="45"/>
      <c r="K72" s="45"/>
      <c r="L72" s="45"/>
      <c r="M72" s="45"/>
      <c r="N72" s="45"/>
      <c r="O72" s="45"/>
      <c r="P72" s="45"/>
      <c r="Q72" s="45"/>
      <c r="R72" s="45"/>
      <c r="S72" s="45"/>
      <c r="T72" s="45"/>
      <c r="U72" s="132"/>
      <c r="V72" s="45"/>
      <c r="W72" s="45"/>
      <c r="X72" s="45"/>
      <c r="Y72" s="45"/>
      <c r="Z72" s="45"/>
      <c r="AA72" s="45"/>
      <c r="AB72" s="45"/>
      <c r="AC72" s="45"/>
      <c r="AD72" s="45"/>
      <c r="AE72" s="45"/>
      <c r="AF72" s="45"/>
      <c r="AG72" s="132"/>
      <c r="AH72" s="132"/>
      <c r="AI72" s="45"/>
      <c r="AJ72" s="45"/>
      <c r="AK72" s="45"/>
      <c r="AL72" s="45"/>
      <c r="AM72" s="45"/>
      <c r="AN72" s="45"/>
      <c r="AO72" s="45"/>
      <c r="AP72" s="45"/>
      <c r="AQ72" s="114"/>
    </row>
    <row r="73" spans="1:43" ht="15.75" customHeight="1">
      <c r="A73" s="44"/>
      <c r="B73" s="45"/>
      <c r="C73" s="45"/>
      <c r="D73" s="45"/>
      <c r="E73" s="45"/>
      <c r="F73" s="45"/>
      <c r="G73" s="45"/>
      <c r="H73" s="45"/>
      <c r="I73" s="45"/>
      <c r="J73" s="45"/>
      <c r="K73" s="45"/>
      <c r="L73" s="45"/>
      <c r="M73" s="45"/>
      <c r="N73" s="45"/>
      <c r="O73" s="45"/>
      <c r="P73" s="45"/>
      <c r="Q73" s="45"/>
      <c r="R73" s="45"/>
      <c r="S73" s="45"/>
      <c r="T73" s="45"/>
      <c r="U73" s="132"/>
      <c r="V73" s="45"/>
      <c r="W73" s="45"/>
      <c r="X73" s="45"/>
      <c r="Y73" s="45"/>
      <c r="Z73" s="45"/>
      <c r="AA73" s="45"/>
      <c r="AB73" s="45"/>
      <c r="AC73" s="45"/>
      <c r="AD73" s="45"/>
      <c r="AE73" s="45"/>
      <c r="AF73" s="45"/>
      <c r="AG73" s="132"/>
      <c r="AH73" s="132"/>
      <c r="AI73" s="45"/>
      <c r="AJ73" s="45"/>
      <c r="AK73" s="45"/>
      <c r="AL73" s="45"/>
      <c r="AM73" s="45"/>
      <c r="AN73" s="45"/>
      <c r="AO73" s="45"/>
      <c r="AP73" s="45"/>
      <c r="AQ73" s="114"/>
    </row>
    <row r="74" spans="1:43" ht="15.75" customHeight="1">
      <c r="A74" s="44"/>
      <c r="B74" s="45"/>
      <c r="C74" s="45"/>
      <c r="D74" s="45"/>
      <c r="E74" s="45"/>
      <c r="F74" s="45"/>
      <c r="G74" s="45"/>
      <c r="H74" s="45"/>
      <c r="I74" s="45"/>
      <c r="J74" s="45"/>
      <c r="K74" s="45"/>
      <c r="L74" s="45"/>
      <c r="M74" s="45"/>
      <c r="N74" s="45"/>
      <c r="O74" s="45"/>
      <c r="P74" s="45"/>
      <c r="Q74" s="45"/>
      <c r="R74" s="45"/>
      <c r="S74" s="45"/>
      <c r="T74" s="45"/>
      <c r="U74" s="132"/>
      <c r="V74" s="45"/>
      <c r="W74" s="45"/>
      <c r="X74" s="45"/>
      <c r="Y74" s="45"/>
      <c r="Z74" s="45"/>
      <c r="AA74" s="45"/>
      <c r="AB74" s="45"/>
      <c r="AC74" s="45"/>
      <c r="AD74" s="45"/>
      <c r="AE74" s="45"/>
      <c r="AF74" s="45"/>
      <c r="AG74" s="132"/>
      <c r="AH74" s="132"/>
      <c r="AI74" s="45"/>
      <c r="AJ74" s="45"/>
      <c r="AK74" s="45"/>
      <c r="AL74" s="45"/>
      <c r="AM74" s="45"/>
      <c r="AN74" s="45"/>
      <c r="AO74" s="45"/>
      <c r="AP74" s="45"/>
      <c r="AQ74" s="114"/>
    </row>
    <row r="75" spans="1:43" ht="15.75" customHeight="1">
      <c r="A75" s="44"/>
      <c r="B75" s="45"/>
      <c r="C75" s="45"/>
      <c r="D75" s="45"/>
      <c r="E75" s="45"/>
      <c r="F75" s="45"/>
      <c r="G75" s="45"/>
      <c r="H75" s="45"/>
      <c r="I75" s="45"/>
      <c r="J75" s="45"/>
      <c r="K75" s="45"/>
      <c r="L75" s="45"/>
      <c r="M75" s="45"/>
      <c r="N75" s="45"/>
      <c r="O75" s="45"/>
      <c r="P75" s="45"/>
      <c r="Q75" s="45"/>
      <c r="R75" s="45"/>
      <c r="S75" s="45"/>
      <c r="T75" s="45"/>
      <c r="U75" s="132"/>
      <c r="V75" s="45"/>
      <c r="W75" s="45"/>
      <c r="X75" s="45"/>
      <c r="Y75" s="45"/>
      <c r="Z75" s="45"/>
      <c r="AA75" s="45"/>
      <c r="AB75" s="45"/>
      <c r="AC75" s="45"/>
      <c r="AD75" s="45"/>
      <c r="AE75" s="45"/>
      <c r="AF75" s="45"/>
      <c r="AG75" s="132"/>
      <c r="AH75" s="132"/>
      <c r="AI75" s="45"/>
      <c r="AJ75" s="45"/>
      <c r="AK75" s="45"/>
      <c r="AL75" s="45"/>
      <c r="AM75" s="45"/>
      <c r="AN75" s="45"/>
      <c r="AO75" s="45"/>
      <c r="AP75" s="45"/>
      <c r="AQ75" s="114"/>
    </row>
    <row r="76" spans="1:43" ht="15.75" customHeight="1">
      <c r="A76" s="44"/>
      <c r="B76" s="45"/>
      <c r="C76" s="45"/>
      <c r="D76" s="45"/>
      <c r="E76" s="45"/>
      <c r="F76" s="45"/>
      <c r="G76" s="45"/>
      <c r="H76" s="45"/>
      <c r="I76" s="45"/>
      <c r="J76" s="45"/>
      <c r="K76" s="45"/>
      <c r="L76" s="45"/>
      <c r="M76" s="45"/>
      <c r="N76" s="45"/>
      <c r="O76" s="45"/>
      <c r="P76" s="45"/>
      <c r="Q76" s="45"/>
      <c r="R76" s="45"/>
      <c r="S76" s="45"/>
      <c r="T76" s="45"/>
      <c r="U76" s="132"/>
      <c r="V76" s="45"/>
      <c r="W76" s="45"/>
      <c r="X76" s="45"/>
      <c r="Y76" s="45"/>
      <c r="Z76" s="45"/>
      <c r="AA76" s="45"/>
      <c r="AB76" s="45"/>
      <c r="AC76" s="45"/>
      <c r="AD76" s="45"/>
      <c r="AE76" s="45"/>
      <c r="AF76" s="45"/>
      <c r="AG76" s="132"/>
      <c r="AH76" s="132"/>
      <c r="AI76" s="45"/>
      <c r="AJ76" s="45"/>
      <c r="AK76" s="45"/>
      <c r="AL76" s="45"/>
      <c r="AM76" s="45"/>
      <c r="AN76" s="45"/>
      <c r="AO76" s="45"/>
      <c r="AP76" s="45"/>
      <c r="AQ76" s="114"/>
    </row>
    <row r="77" spans="1:43" ht="15.75" customHeight="1">
      <c r="A77" s="44"/>
      <c r="B77" s="45"/>
      <c r="C77" s="45"/>
      <c r="D77" s="45"/>
      <c r="E77" s="45"/>
      <c r="F77" s="45"/>
      <c r="G77" s="45"/>
      <c r="H77" s="45"/>
      <c r="I77" s="45"/>
      <c r="J77" s="45"/>
      <c r="K77" s="45"/>
      <c r="L77" s="45"/>
      <c r="M77" s="45"/>
      <c r="N77" s="45"/>
      <c r="O77" s="45"/>
      <c r="P77" s="45"/>
      <c r="Q77" s="45"/>
      <c r="R77" s="45"/>
      <c r="S77" s="45"/>
      <c r="T77" s="45"/>
      <c r="U77" s="132"/>
      <c r="V77" s="45"/>
      <c r="W77" s="45"/>
      <c r="X77" s="45"/>
      <c r="Y77" s="45"/>
      <c r="Z77" s="45"/>
      <c r="AA77" s="45"/>
      <c r="AB77" s="45"/>
      <c r="AC77" s="45"/>
      <c r="AD77" s="45"/>
      <c r="AE77" s="45"/>
      <c r="AF77" s="45"/>
      <c r="AG77" s="132"/>
      <c r="AH77" s="132"/>
      <c r="AI77" s="45"/>
      <c r="AJ77" s="45"/>
      <c r="AK77" s="45"/>
      <c r="AL77" s="45"/>
      <c r="AM77" s="45"/>
      <c r="AN77" s="45"/>
      <c r="AO77" s="45"/>
      <c r="AP77" s="45"/>
      <c r="AQ77" s="114"/>
    </row>
    <row r="78" spans="1:43" ht="15.75" customHeight="1">
      <c r="A78" s="44"/>
      <c r="B78" s="45"/>
      <c r="C78" s="45"/>
      <c r="D78" s="45"/>
      <c r="E78" s="45"/>
      <c r="F78" s="45"/>
      <c r="G78" s="45"/>
      <c r="H78" s="45"/>
      <c r="I78" s="45"/>
      <c r="J78" s="45"/>
      <c r="K78" s="45"/>
      <c r="L78" s="45"/>
      <c r="M78" s="45"/>
      <c r="N78" s="45"/>
      <c r="O78" s="45"/>
      <c r="P78" s="45"/>
      <c r="Q78" s="45"/>
      <c r="R78" s="45"/>
      <c r="S78" s="45"/>
      <c r="T78" s="45"/>
      <c r="U78" s="132"/>
      <c r="V78" s="45"/>
      <c r="W78" s="45"/>
      <c r="X78" s="45"/>
      <c r="Y78" s="45"/>
      <c r="Z78" s="45"/>
      <c r="AA78" s="45"/>
      <c r="AB78" s="45"/>
      <c r="AC78" s="45"/>
      <c r="AD78" s="45"/>
      <c r="AE78" s="45"/>
      <c r="AF78" s="45"/>
      <c r="AG78" s="132"/>
      <c r="AH78" s="132"/>
      <c r="AI78" s="45"/>
      <c r="AJ78" s="45"/>
      <c r="AK78" s="45"/>
      <c r="AL78" s="45"/>
      <c r="AM78" s="45"/>
      <c r="AN78" s="45"/>
      <c r="AO78" s="45"/>
      <c r="AP78" s="45"/>
      <c r="AQ78" s="114"/>
    </row>
    <row r="79" spans="1:43" ht="15.75" customHeight="1">
      <c r="A79" s="44"/>
      <c r="B79" s="45"/>
      <c r="C79" s="45"/>
      <c r="D79" s="45"/>
      <c r="E79" s="45"/>
      <c r="F79" s="45"/>
      <c r="G79" s="45"/>
      <c r="H79" s="45"/>
      <c r="I79" s="45"/>
      <c r="J79" s="45"/>
      <c r="K79" s="45"/>
      <c r="L79" s="45"/>
      <c r="M79" s="45"/>
      <c r="N79" s="45"/>
      <c r="O79" s="45"/>
      <c r="P79" s="45"/>
      <c r="Q79" s="45"/>
      <c r="R79" s="45"/>
      <c r="S79" s="45"/>
      <c r="T79" s="45"/>
      <c r="U79" s="132"/>
      <c r="V79" s="45"/>
      <c r="W79" s="45"/>
      <c r="X79" s="45"/>
      <c r="Y79" s="45"/>
      <c r="Z79" s="45"/>
      <c r="AA79" s="45"/>
      <c r="AB79" s="45"/>
      <c r="AC79" s="45"/>
      <c r="AD79" s="45"/>
      <c r="AE79" s="45"/>
      <c r="AF79" s="45"/>
      <c r="AG79" s="132"/>
      <c r="AH79" s="132"/>
      <c r="AI79" s="45"/>
      <c r="AJ79" s="45"/>
      <c r="AK79" s="45"/>
      <c r="AL79" s="45"/>
      <c r="AM79" s="45"/>
      <c r="AN79" s="45"/>
      <c r="AO79" s="45"/>
      <c r="AP79" s="45"/>
      <c r="AQ79" s="114"/>
    </row>
    <row r="80" spans="1:43" ht="15.75" customHeight="1">
      <c r="A80" s="44"/>
      <c r="B80" s="45"/>
      <c r="C80" s="45"/>
      <c r="D80" s="45"/>
      <c r="E80" s="45"/>
      <c r="F80" s="45"/>
      <c r="G80" s="45"/>
      <c r="H80" s="45"/>
      <c r="I80" s="45"/>
      <c r="J80" s="45"/>
      <c r="K80" s="45"/>
      <c r="L80" s="45"/>
      <c r="M80" s="45"/>
      <c r="N80" s="45"/>
      <c r="O80" s="45"/>
      <c r="P80" s="45"/>
      <c r="Q80" s="45"/>
      <c r="R80" s="45"/>
      <c r="S80" s="45"/>
      <c r="T80" s="45"/>
      <c r="U80" s="132"/>
      <c r="V80" s="45"/>
      <c r="W80" s="45"/>
      <c r="X80" s="45"/>
      <c r="Y80" s="45"/>
      <c r="Z80" s="45"/>
      <c r="AA80" s="45"/>
      <c r="AB80" s="45"/>
      <c r="AC80" s="45"/>
      <c r="AD80" s="45"/>
      <c r="AE80" s="45"/>
      <c r="AF80" s="45"/>
      <c r="AG80" s="132"/>
      <c r="AH80" s="132"/>
      <c r="AI80" s="45"/>
      <c r="AJ80" s="45"/>
      <c r="AK80" s="45"/>
      <c r="AL80" s="45"/>
      <c r="AM80" s="45"/>
      <c r="AN80" s="45"/>
      <c r="AO80" s="45"/>
      <c r="AP80" s="45"/>
      <c r="AQ80" s="114"/>
    </row>
    <row r="81" spans="1:43" ht="15.75" customHeight="1">
      <c r="A81" s="44"/>
      <c r="B81" s="45"/>
      <c r="C81" s="45"/>
      <c r="D81" s="45"/>
      <c r="E81" s="45"/>
      <c r="F81" s="45"/>
      <c r="G81" s="45"/>
      <c r="H81" s="45"/>
      <c r="I81" s="45"/>
      <c r="J81" s="45"/>
      <c r="K81" s="45"/>
      <c r="L81" s="45"/>
      <c r="M81" s="45"/>
      <c r="N81" s="45"/>
      <c r="O81" s="45"/>
      <c r="P81" s="45"/>
      <c r="Q81" s="45"/>
      <c r="R81" s="45"/>
      <c r="S81" s="45"/>
      <c r="T81" s="45"/>
      <c r="U81" s="132"/>
      <c r="V81" s="45"/>
      <c r="W81" s="45"/>
      <c r="X81" s="45"/>
      <c r="Y81" s="45"/>
      <c r="Z81" s="45"/>
      <c r="AA81" s="45"/>
      <c r="AB81" s="45"/>
      <c r="AC81" s="45"/>
      <c r="AD81" s="45"/>
      <c r="AE81" s="45"/>
      <c r="AF81" s="45"/>
      <c r="AG81" s="132"/>
      <c r="AH81" s="132"/>
      <c r="AI81" s="45"/>
      <c r="AJ81" s="45"/>
      <c r="AK81" s="45"/>
      <c r="AL81" s="45"/>
      <c r="AM81" s="45"/>
      <c r="AN81" s="45"/>
      <c r="AO81" s="45"/>
      <c r="AP81" s="45"/>
      <c r="AQ81" s="114"/>
    </row>
    <row r="82" spans="1:43" ht="15.75" customHeight="1">
      <c r="A82" s="44"/>
      <c r="B82" s="45"/>
      <c r="C82" s="45"/>
      <c r="D82" s="45"/>
      <c r="E82" s="45"/>
      <c r="F82" s="45"/>
      <c r="G82" s="45"/>
      <c r="H82" s="45"/>
      <c r="I82" s="45"/>
      <c r="J82" s="45"/>
      <c r="K82" s="45"/>
      <c r="L82" s="45"/>
      <c r="M82" s="45"/>
      <c r="N82" s="45"/>
      <c r="O82" s="45"/>
      <c r="P82" s="45"/>
      <c r="Q82" s="45"/>
      <c r="R82" s="45"/>
      <c r="S82" s="45"/>
      <c r="T82" s="45"/>
      <c r="U82" s="132"/>
      <c r="V82" s="45"/>
      <c r="W82" s="45"/>
      <c r="X82" s="45"/>
      <c r="Y82" s="45"/>
      <c r="Z82" s="45"/>
      <c r="AA82" s="45"/>
      <c r="AB82" s="45"/>
      <c r="AC82" s="45"/>
      <c r="AD82" s="45"/>
      <c r="AE82" s="45"/>
      <c r="AF82" s="45"/>
      <c r="AG82" s="132"/>
      <c r="AH82" s="132"/>
      <c r="AI82" s="45"/>
      <c r="AJ82" s="45"/>
      <c r="AK82" s="45"/>
      <c r="AL82" s="45"/>
      <c r="AM82" s="45"/>
      <c r="AN82" s="45"/>
      <c r="AO82" s="45"/>
      <c r="AP82" s="45"/>
      <c r="AQ82" s="114"/>
    </row>
    <row r="83" spans="1:43" ht="15.75" customHeight="1">
      <c r="A83" s="44"/>
      <c r="B83" s="45"/>
      <c r="C83" s="45"/>
      <c r="D83" s="45"/>
      <c r="E83" s="45"/>
      <c r="F83" s="45"/>
      <c r="G83" s="45"/>
      <c r="H83" s="45"/>
      <c r="I83" s="45"/>
      <c r="J83" s="45"/>
      <c r="K83" s="45"/>
      <c r="L83" s="45"/>
      <c r="M83" s="45"/>
      <c r="N83" s="45"/>
      <c r="O83" s="45"/>
      <c r="P83" s="45"/>
      <c r="Q83" s="45"/>
      <c r="R83" s="45"/>
      <c r="S83" s="45"/>
      <c r="T83" s="45"/>
      <c r="U83" s="132"/>
      <c r="V83" s="45"/>
      <c r="W83" s="45"/>
      <c r="X83" s="45"/>
      <c r="Y83" s="45"/>
      <c r="Z83" s="45"/>
      <c r="AA83" s="45"/>
      <c r="AB83" s="45"/>
      <c r="AC83" s="45"/>
      <c r="AD83" s="45"/>
      <c r="AE83" s="45"/>
      <c r="AF83" s="45"/>
      <c r="AG83" s="132"/>
      <c r="AH83" s="132"/>
      <c r="AI83" s="45"/>
      <c r="AJ83" s="45"/>
      <c r="AK83" s="45"/>
      <c r="AL83" s="45"/>
      <c r="AM83" s="45"/>
      <c r="AN83" s="45"/>
      <c r="AO83" s="45"/>
      <c r="AP83" s="45"/>
      <c r="AQ83" s="114"/>
    </row>
    <row r="84" spans="1:43" ht="15.75" customHeight="1">
      <c r="A84" s="44"/>
      <c r="B84" s="45"/>
      <c r="C84" s="45"/>
      <c r="D84" s="45"/>
      <c r="E84" s="45"/>
      <c r="F84" s="45"/>
      <c r="G84" s="45"/>
      <c r="H84" s="45"/>
      <c r="I84" s="45"/>
      <c r="J84" s="45"/>
      <c r="K84" s="45"/>
      <c r="L84" s="45"/>
      <c r="M84" s="45"/>
      <c r="N84" s="45"/>
      <c r="O84" s="45"/>
      <c r="P84" s="45"/>
      <c r="Q84" s="45"/>
      <c r="R84" s="45"/>
      <c r="S84" s="45"/>
      <c r="T84" s="45"/>
      <c r="U84" s="132"/>
      <c r="V84" s="45"/>
      <c r="W84" s="45"/>
      <c r="X84" s="45"/>
      <c r="Y84" s="45"/>
      <c r="Z84" s="45"/>
      <c r="AA84" s="45"/>
      <c r="AB84" s="45"/>
      <c r="AC84" s="45"/>
      <c r="AD84" s="45"/>
      <c r="AE84" s="45"/>
      <c r="AF84" s="45"/>
      <c r="AG84" s="132"/>
      <c r="AH84" s="132"/>
      <c r="AI84" s="45"/>
      <c r="AJ84" s="45"/>
      <c r="AK84" s="45"/>
      <c r="AL84" s="45"/>
      <c r="AM84" s="45"/>
      <c r="AN84" s="45"/>
      <c r="AO84" s="45"/>
      <c r="AP84" s="45"/>
      <c r="AQ84" s="114"/>
    </row>
    <row r="85" spans="1:43" ht="15.75" customHeight="1">
      <c r="A85" s="44"/>
      <c r="B85" s="45"/>
      <c r="C85" s="45"/>
      <c r="D85" s="45"/>
      <c r="E85" s="45"/>
      <c r="F85" s="45"/>
      <c r="G85" s="45"/>
      <c r="H85" s="45"/>
      <c r="I85" s="45"/>
      <c r="J85" s="45"/>
      <c r="K85" s="45"/>
      <c r="L85" s="45"/>
      <c r="M85" s="45"/>
      <c r="N85" s="45"/>
      <c r="O85" s="45"/>
      <c r="P85" s="45"/>
      <c r="Q85" s="45"/>
      <c r="R85" s="45"/>
      <c r="S85" s="45"/>
      <c r="T85" s="45"/>
      <c r="U85" s="132"/>
      <c r="V85" s="45"/>
      <c r="W85" s="45"/>
      <c r="X85" s="45"/>
      <c r="Y85" s="45"/>
      <c r="Z85" s="45"/>
      <c r="AA85" s="45"/>
      <c r="AB85" s="45"/>
      <c r="AC85" s="45"/>
      <c r="AD85" s="45"/>
      <c r="AE85" s="45"/>
      <c r="AF85" s="45"/>
      <c r="AG85" s="132"/>
      <c r="AH85" s="132"/>
      <c r="AI85" s="45"/>
      <c r="AJ85" s="45"/>
      <c r="AK85" s="45"/>
      <c r="AL85" s="45"/>
      <c r="AM85" s="45"/>
      <c r="AN85" s="45"/>
      <c r="AO85" s="45"/>
      <c r="AP85" s="45"/>
      <c r="AQ85" s="114"/>
    </row>
    <row r="86" spans="1:43" ht="15.75" customHeight="1">
      <c r="A86" s="44"/>
      <c r="B86" s="45"/>
      <c r="C86" s="45"/>
      <c r="D86" s="45"/>
      <c r="E86" s="45"/>
      <c r="F86" s="45"/>
      <c r="G86" s="45"/>
      <c r="H86" s="45"/>
      <c r="I86" s="45"/>
      <c r="J86" s="45"/>
      <c r="K86" s="45"/>
      <c r="L86" s="45"/>
      <c r="M86" s="45"/>
      <c r="N86" s="45"/>
      <c r="O86" s="45"/>
      <c r="P86" s="45"/>
      <c r="Q86" s="45"/>
      <c r="R86" s="45"/>
      <c r="S86" s="45"/>
      <c r="T86" s="45"/>
      <c r="U86" s="132"/>
      <c r="V86" s="45"/>
      <c r="W86" s="45"/>
      <c r="X86" s="45"/>
      <c r="Y86" s="45"/>
      <c r="Z86" s="45"/>
      <c r="AA86" s="45"/>
      <c r="AB86" s="45"/>
      <c r="AC86" s="45"/>
      <c r="AD86" s="45"/>
      <c r="AE86" s="45"/>
      <c r="AF86" s="45"/>
      <c r="AG86" s="132"/>
      <c r="AH86" s="132"/>
      <c r="AI86" s="45"/>
      <c r="AJ86" s="45"/>
      <c r="AK86" s="45"/>
      <c r="AL86" s="45"/>
      <c r="AM86" s="45"/>
      <c r="AN86" s="45"/>
      <c r="AO86" s="45"/>
      <c r="AP86" s="45"/>
      <c r="AQ86" s="114"/>
    </row>
    <row r="87" spans="1:43" ht="15.75" customHeight="1">
      <c r="A87" s="44"/>
      <c r="B87" s="45"/>
      <c r="C87" s="45"/>
      <c r="D87" s="45"/>
      <c r="E87" s="45"/>
      <c r="F87" s="45"/>
      <c r="G87" s="45"/>
      <c r="H87" s="45"/>
      <c r="I87" s="45"/>
      <c r="J87" s="45"/>
      <c r="K87" s="45"/>
      <c r="L87" s="45"/>
      <c r="M87" s="45"/>
      <c r="N87" s="45"/>
      <c r="O87" s="45"/>
      <c r="P87" s="45"/>
      <c r="Q87" s="45"/>
      <c r="R87" s="45"/>
      <c r="S87" s="45"/>
      <c r="T87" s="45"/>
      <c r="U87" s="132"/>
      <c r="V87" s="45"/>
      <c r="W87" s="45"/>
      <c r="X87" s="45"/>
      <c r="Y87" s="45"/>
      <c r="Z87" s="45"/>
      <c r="AA87" s="45"/>
      <c r="AB87" s="45"/>
      <c r="AC87" s="45"/>
      <c r="AD87" s="45"/>
      <c r="AE87" s="45"/>
      <c r="AF87" s="45"/>
      <c r="AG87" s="132"/>
      <c r="AH87" s="132"/>
      <c r="AI87" s="45"/>
      <c r="AJ87" s="45"/>
      <c r="AK87" s="45"/>
      <c r="AL87" s="45"/>
      <c r="AM87" s="45"/>
      <c r="AN87" s="45"/>
      <c r="AO87" s="45"/>
      <c r="AP87" s="45"/>
      <c r="AQ87" s="114"/>
    </row>
    <row r="88" spans="1:43" ht="15.75" customHeight="1">
      <c r="A88" s="44"/>
      <c r="B88" s="45"/>
      <c r="C88" s="45"/>
      <c r="D88" s="45"/>
      <c r="E88" s="45"/>
      <c r="F88" s="45"/>
      <c r="G88" s="45"/>
      <c r="H88" s="45"/>
      <c r="I88" s="45"/>
      <c r="J88" s="45"/>
      <c r="K88" s="45"/>
      <c r="L88" s="45"/>
      <c r="M88" s="45"/>
      <c r="N88" s="45"/>
      <c r="O88" s="45"/>
      <c r="P88" s="45"/>
      <c r="Q88" s="45"/>
      <c r="R88" s="45"/>
      <c r="S88" s="45"/>
      <c r="T88" s="45"/>
      <c r="U88" s="132"/>
      <c r="V88" s="45"/>
      <c r="W88" s="45"/>
      <c r="X88" s="45"/>
      <c r="Y88" s="45"/>
      <c r="Z88" s="45"/>
      <c r="AA88" s="45"/>
      <c r="AB88" s="45"/>
      <c r="AC88" s="45"/>
      <c r="AD88" s="45"/>
      <c r="AE88" s="45"/>
      <c r="AF88" s="45"/>
      <c r="AG88" s="132"/>
      <c r="AH88" s="132"/>
      <c r="AI88" s="45"/>
      <c r="AJ88" s="45"/>
      <c r="AK88" s="45"/>
      <c r="AL88" s="45"/>
      <c r="AM88" s="45"/>
      <c r="AN88" s="45"/>
      <c r="AO88" s="45"/>
      <c r="AP88" s="45"/>
      <c r="AQ88" s="114"/>
    </row>
    <row r="89" spans="1:43" ht="15.75" customHeight="1">
      <c r="A89" s="44"/>
      <c r="B89" s="45"/>
      <c r="C89" s="45"/>
      <c r="D89" s="45"/>
      <c r="E89" s="45"/>
      <c r="F89" s="45"/>
      <c r="G89" s="45"/>
      <c r="H89" s="45"/>
      <c r="I89" s="45"/>
      <c r="J89" s="45"/>
      <c r="K89" s="45"/>
      <c r="L89" s="45"/>
      <c r="M89" s="45"/>
      <c r="N89" s="45"/>
      <c r="O89" s="45"/>
      <c r="P89" s="45"/>
      <c r="Q89" s="45"/>
      <c r="R89" s="45"/>
      <c r="S89" s="45"/>
      <c r="T89" s="45"/>
      <c r="U89" s="132"/>
      <c r="V89" s="45"/>
      <c r="W89" s="45"/>
      <c r="X89" s="45"/>
      <c r="Y89" s="45"/>
      <c r="Z89" s="45"/>
      <c r="AA89" s="45"/>
      <c r="AB89" s="45"/>
      <c r="AC89" s="45"/>
      <c r="AD89" s="45"/>
      <c r="AE89" s="45"/>
      <c r="AF89" s="45"/>
      <c r="AG89" s="132"/>
      <c r="AH89" s="132"/>
      <c r="AI89" s="45"/>
      <c r="AJ89" s="45"/>
      <c r="AK89" s="45"/>
      <c r="AL89" s="45"/>
      <c r="AM89" s="45"/>
      <c r="AN89" s="45"/>
      <c r="AO89" s="45"/>
      <c r="AP89" s="45"/>
      <c r="AQ89" s="114"/>
    </row>
    <row r="90" spans="1:43" ht="15.75" customHeight="1">
      <c r="A90" s="44"/>
      <c r="B90" s="45"/>
      <c r="C90" s="45"/>
      <c r="D90" s="45"/>
      <c r="E90" s="45"/>
      <c r="F90" s="45"/>
      <c r="G90" s="45"/>
      <c r="H90" s="45"/>
      <c r="I90" s="45"/>
      <c r="J90" s="45"/>
      <c r="K90" s="45"/>
      <c r="L90" s="45"/>
      <c r="M90" s="45"/>
      <c r="N90" s="45"/>
      <c r="O90" s="45"/>
      <c r="P90" s="45"/>
      <c r="Q90" s="45"/>
      <c r="R90" s="45"/>
      <c r="S90" s="45"/>
      <c r="T90" s="45"/>
      <c r="U90" s="132"/>
      <c r="V90" s="45"/>
      <c r="W90" s="45"/>
      <c r="X90" s="45"/>
      <c r="Y90" s="45"/>
      <c r="Z90" s="45"/>
      <c r="AA90" s="45"/>
      <c r="AB90" s="45"/>
      <c r="AC90" s="45"/>
      <c r="AD90" s="45"/>
      <c r="AE90" s="45"/>
      <c r="AF90" s="45"/>
      <c r="AG90" s="132"/>
      <c r="AH90" s="132"/>
      <c r="AI90" s="45"/>
      <c r="AJ90" s="45"/>
      <c r="AK90" s="45"/>
      <c r="AL90" s="45"/>
      <c r="AM90" s="45"/>
      <c r="AN90" s="45"/>
      <c r="AO90" s="45"/>
      <c r="AP90" s="45"/>
      <c r="AQ90" s="114"/>
    </row>
    <row r="91" spans="1:43" ht="15.75" customHeight="1">
      <c r="A91" s="44"/>
      <c r="B91" s="45"/>
      <c r="C91" s="45"/>
      <c r="D91" s="45"/>
      <c r="E91" s="45"/>
      <c r="F91" s="45"/>
      <c r="G91" s="45"/>
      <c r="H91" s="45"/>
      <c r="I91" s="45"/>
      <c r="J91" s="45"/>
      <c r="K91" s="45"/>
      <c r="L91" s="45"/>
      <c r="M91" s="45"/>
      <c r="N91" s="45"/>
      <c r="O91" s="45"/>
      <c r="P91" s="45"/>
      <c r="Q91" s="45"/>
      <c r="R91" s="45"/>
      <c r="S91" s="45"/>
      <c r="T91" s="45"/>
      <c r="U91" s="132"/>
      <c r="V91" s="45"/>
      <c r="W91" s="45"/>
      <c r="X91" s="45"/>
      <c r="Y91" s="45"/>
      <c r="Z91" s="45"/>
      <c r="AA91" s="45"/>
      <c r="AB91" s="45"/>
      <c r="AC91" s="45"/>
      <c r="AD91" s="45"/>
      <c r="AE91" s="45"/>
      <c r="AF91" s="45"/>
      <c r="AG91" s="132"/>
      <c r="AH91" s="132"/>
      <c r="AI91" s="45"/>
      <c r="AJ91" s="45"/>
      <c r="AK91" s="45"/>
      <c r="AL91" s="45"/>
      <c r="AM91" s="45"/>
      <c r="AN91" s="45"/>
      <c r="AO91" s="45"/>
      <c r="AP91" s="45"/>
      <c r="AQ91" s="114"/>
    </row>
    <row r="92" spans="1:43" ht="15.75" customHeight="1">
      <c r="A92" s="44"/>
      <c r="B92" s="45"/>
      <c r="C92" s="45"/>
      <c r="D92" s="45"/>
      <c r="E92" s="45"/>
      <c r="F92" s="45"/>
      <c r="G92" s="45"/>
      <c r="H92" s="45"/>
      <c r="I92" s="45"/>
      <c r="J92" s="45"/>
      <c r="K92" s="45"/>
      <c r="L92" s="45"/>
      <c r="M92" s="45"/>
      <c r="N92" s="45"/>
      <c r="O92" s="45"/>
      <c r="P92" s="45"/>
      <c r="Q92" s="45"/>
      <c r="R92" s="45"/>
      <c r="S92" s="45"/>
      <c r="T92" s="45"/>
      <c r="U92" s="132"/>
      <c r="V92" s="45"/>
      <c r="W92" s="45"/>
      <c r="X92" s="45"/>
      <c r="Y92" s="45"/>
      <c r="Z92" s="45"/>
      <c r="AA92" s="45"/>
      <c r="AB92" s="45"/>
      <c r="AC92" s="45"/>
      <c r="AD92" s="45"/>
      <c r="AE92" s="45"/>
      <c r="AF92" s="45"/>
      <c r="AG92" s="132"/>
      <c r="AH92" s="132"/>
      <c r="AI92" s="45"/>
      <c r="AJ92" s="45"/>
      <c r="AK92" s="45"/>
      <c r="AL92" s="45"/>
      <c r="AM92" s="45"/>
      <c r="AN92" s="45"/>
      <c r="AO92" s="45"/>
      <c r="AP92" s="45"/>
      <c r="AQ92" s="114"/>
    </row>
    <row r="93" spans="1:43" ht="15.75" customHeight="1">
      <c r="A93" s="44"/>
      <c r="B93" s="45"/>
      <c r="C93" s="45"/>
      <c r="D93" s="45"/>
      <c r="E93" s="45"/>
      <c r="F93" s="45"/>
      <c r="G93" s="45"/>
      <c r="H93" s="45"/>
      <c r="I93" s="45"/>
      <c r="J93" s="45"/>
      <c r="K93" s="45"/>
      <c r="L93" s="45"/>
      <c r="M93" s="45"/>
      <c r="N93" s="45"/>
      <c r="O93" s="45"/>
      <c r="P93" s="45"/>
      <c r="Q93" s="45"/>
      <c r="R93" s="45"/>
      <c r="S93" s="45"/>
      <c r="T93" s="45"/>
      <c r="U93" s="132"/>
      <c r="V93" s="45"/>
      <c r="W93" s="45"/>
      <c r="X93" s="45"/>
      <c r="Y93" s="45"/>
      <c r="Z93" s="45"/>
      <c r="AA93" s="45"/>
      <c r="AB93" s="45"/>
      <c r="AC93" s="45"/>
      <c r="AD93" s="45"/>
      <c r="AE93" s="45"/>
      <c r="AF93" s="45"/>
      <c r="AG93" s="132"/>
      <c r="AH93" s="132"/>
      <c r="AI93" s="45"/>
      <c r="AJ93" s="45"/>
      <c r="AK93" s="45"/>
      <c r="AL93" s="45"/>
      <c r="AM93" s="45"/>
      <c r="AN93" s="45"/>
      <c r="AO93" s="45"/>
      <c r="AP93" s="45"/>
      <c r="AQ93" s="114"/>
    </row>
    <row r="94" spans="1:43" ht="15.75" customHeight="1">
      <c r="A94" s="44"/>
      <c r="B94" s="45"/>
      <c r="C94" s="45"/>
      <c r="D94" s="45"/>
      <c r="E94" s="45"/>
      <c r="F94" s="45"/>
      <c r="G94" s="45"/>
      <c r="H94" s="45"/>
      <c r="I94" s="45"/>
      <c r="J94" s="45"/>
      <c r="K94" s="45"/>
      <c r="L94" s="45"/>
      <c r="M94" s="45"/>
      <c r="N94" s="45"/>
      <c r="O94" s="45"/>
      <c r="P94" s="45"/>
      <c r="Q94" s="45"/>
      <c r="R94" s="45"/>
      <c r="S94" s="45"/>
      <c r="T94" s="45"/>
      <c r="U94" s="132"/>
      <c r="V94" s="45"/>
      <c r="W94" s="45"/>
      <c r="X94" s="45"/>
      <c r="Y94" s="45"/>
      <c r="Z94" s="45"/>
      <c r="AA94" s="45"/>
      <c r="AB94" s="45"/>
      <c r="AC94" s="45"/>
      <c r="AD94" s="45"/>
      <c r="AE94" s="45"/>
      <c r="AF94" s="45"/>
      <c r="AG94" s="132"/>
      <c r="AH94" s="132"/>
      <c r="AI94" s="45"/>
      <c r="AJ94" s="45"/>
      <c r="AK94" s="45"/>
      <c r="AL94" s="45"/>
      <c r="AM94" s="45"/>
      <c r="AN94" s="45"/>
      <c r="AO94" s="45"/>
      <c r="AP94" s="45"/>
      <c r="AQ94" s="114"/>
    </row>
    <row r="95" spans="1:43" ht="15.75" customHeight="1">
      <c r="A95" s="44"/>
      <c r="B95" s="45"/>
      <c r="C95" s="45"/>
      <c r="D95" s="45"/>
      <c r="E95" s="45"/>
      <c r="F95" s="45"/>
      <c r="G95" s="45"/>
      <c r="H95" s="45"/>
      <c r="I95" s="45"/>
      <c r="J95" s="45"/>
      <c r="K95" s="45"/>
      <c r="L95" s="45"/>
      <c r="M95" s="45"/>
      <c r="N95" s="45"/>
      <c r="O95" s="45"/>
      <c r="P95" s="45"/>
      <c r="Q95" s="45"/>
      <c r="R95" s="45"/>
      <c r="S95" s="45"/>
      <c r="T95" s="45"/>
      <c r="U95" s="132"/>
      <c r="V95" s="45"/>
      <c r="W95" s="45"/>
      <c r="X95" s="45"/>
      <c r="Y95" s="45"/>
      <c r="Z95" s="45"/>
      <c r="AA95" s="45"/>
      <c r="AB95" s="45"/>
      <c r="AC95" s="45"/>
      <c r="AD95" s="45"/>
      <c r="AE95" s="45"/>
      <c r="AF95" s="45"/>
      <c r="AG95" s="132"/>
      <c r="AH95" s="132"/>
      <c r="AI95" s="45"/>
      <c r="AJ95" s="45"/>
      <c r="AK95" s="45"/>
      <c r="AL95" s="45"/>
      <c r="AM95" s="45"/>
      <c r="AN95" s="45"/>
      <c r="AO95" s="45"/>
      <c r="AP95" s="45"/>
      <c r="AQ95" s="114"/>
    </row>
    <row r="96" spans="1:43" ht="15.75" customHeight="1">
      <c r="A96" s="44"/>
      <c r="B96" s="45"/>
      <c r="C96" s="45"/>
      <c r="D96" s="45"/>
      <c r="E96" s="45"/>
      <c r="F96" s="45"/>
      <c r="G96" s="45"/>
      <c r="H96" s="45"/>
      <c r="I96" s="45"/>
      <c r="J96" s="45"/>
      <c r="K96" s="45"/>
      <c r="L96" s="45"/>
      <c r="M96" s="45"/>
      <c r="N96" s="45"/>
      <c r="O96" s="45"/>
      <c r="P96" s="45"/>
      <c r="Q96" s="45"/>
      <c r="R96" s="45"/>
      <c r="S96" s="45"/>
      <c r="T96" s="45"/>
      <c r="U96" s="132"/>
      <c r="V96" s="45"/>
      <c r="W96" s="45"/>
      <c r="X96" s="45"/>
      <c r="Y96" s="45"/>
      <c r="Z96" s="45"/>
      <c r="AA96" s="45"/>
      <c r="AB96" s="45"/>
      <c r="AC96" s="45"/>
      <c r="AD96" s="45"/>
      <c r="AE96" s="45"/>
      <c r="AF96" s="45"/>
      <c r="AG96" s="132"/>
      <c r="AH96" s="132"/>
      <c r="AI96" s="45"/>
      <c r="AJ96" s="45"/>
      <c r="AK96" s="45"/>
      <c r="AL96" s="45"/>
      <c r="AM96" s="45"/>
      <c r="AN96" s="45"/>
      <c r="AO96" s="45"/>
      <c r="AP96" s="45"/>
      <c r="AQ96" s="114"/>
    </row>
    <row r="97" spans="1:43" ht="15.75" customHeight="1">
      <c r="A97" s="44"/>
      <c r="B97" s="45"/>
      <c r="C97" s="45"/>
      <c r="D97" s="45"/>
      <c r="E97" s="45"/>
      <c r="F97" s="45"/>
      <c r="G97" s="45"/>
      <c r="H97" s="45"/>
      <c r="I97" s="45"/>
      <c r="J97" s="45"/>
      <c r="K97" s="45"/>
      <c r="L97" s="45"/>
      <c r="M97" s="45"/>
      <c r="N97" s="45"/>
      <c r="O97" s="45"/>
      <c r="P97" s="45"/>
      <c r="Q97" s="45"/>
      <c r="R97" s="45"/>
      <c r="S97" s="45"/>
      <c r="T97" s="45"/>
      <c r="U97" s="132"/>
      <c r="V97" s="45"/>
      <c r="W97" s="45"/>
      <c r="X97" s="45"/>
      <c r="Y97" s="45"/>
      <c r="Z97" s="45"/>
      <c r="AA97" s="45"/>
      <c r="AB97" s="45"/>
      <c r="AC97" s="45"/>
      <c r="AD97" s="45"/>
      <c r="AE97" s="45"/>
      <c r="AF97" s="45"/>
      <c r="AG97" s="132"/>
      <c r="AH97" s="132"/>
      <c r="AI97" s="45"/>
      <c r="AJ97" s="45"/>
      <c r="AK97" s="45"/>
      <c r="AL97" s="45"/>
      <c r="AM97" s="45"/>
      <c r="AN97" s="45"/>
      <c r="AO97" s="45"/>
      <c r="AP97" s="45"/>
      <c r="AQ97" s="114"/>
    </row>
    <row r="98" spans="1:43" ht="15.75" customHeight="1">
      <c r="A98" s="44"/>
      <c r="B98" s="45"/>
      <c r="C98" s="45"/>
      <c r="D98" s="45"/>
      <c r="E98" s="45"/>
      <c r="F98" s="45"/>
      <c r="G98" s="45"/>
      <c r="H98" s="45"/>
      <c r="I98" s="45"/>
      <c r="J98" s="45"/>
      <c r="K98" s="45"/>
      <c r="L98" s="45"/>
      <c r="M98" s="45"/>
      <c r="N98" s="45"/>
      <c r="O98" s="45"/>
      <c r="P98" s="45"/>
      <c r="Q98" s="45"/>
      <c r="R98" s="45"/>
      <c r="S98" s="45"/>
      <c r="T98" s="45"/>
      <c r="U98" s="132"/>
      <c r="V98" s="45"/>
      <c r="W98" s="45"/>
      <c r="X98" s="45"/>
      <c r="Y98" s="45"/>
      <c r="Z98" s="45"/>
      <c r="AA98" s="45"/>
      <c r="AB98" s="45"/>
      <c r="AC98" s="45"/>
      <c r="AD98" s="45"/>
      <c r="AE98" s="45"/>
      <c r="AF98" s="45"/>
      <c r="AG98" s="132"/>
      <c r="AH98" s="132"/>
      <c r="AI98" s="45"/>
      <c r="AJ98" s="45"/>
      <c r="AK98" s="45"/>
      <c r="AL98" s="45"/>
      <c r="AM98" s="45"/>
      <c r="AN98" s="45"/>
      <c r="AO98" s="45"/>
      <c r="AP98" s="45"/>
      <c r="AQ98" s="114"/>
    </row>
    <row r="99" spans="1:43" ht="15.75" customHeight="1">
      <c r="A99" s="44"/>
      <c r="B99" s="45"/>
      <c r="C99" s="45"/>
      <c r="D99" s="45"/>
      <c r="E99" s="45"/>
      <c r="F99" s="45"/>
      <c r="G99" s="45"/>
      <c r="H99" s="45"/>
      <c r="I99" s="45"/>
      <c r="J99" s="45"/>
      <c r="K99" s="45"/>
      <c r="L99" s="45"/>
      <c r="M99" s="45"/>
      <c r="N99" s="45"/>
      <c r="O99" s="45"/>
      <c r="P99" s="45"/>
      <c r="Q99" s="45"/>
      <c r="R99" s="45"/>
      <c r="S99" s="45"/>
      <c r="T99" s="45"/>
      <c r="U99" s="132"/>
      <c r="V99" s="45"/>
      <c r="W99" s="45"/>
      <c r="X99" s="45"/>
      <c r="Y99" s="45"/>
      <c r="Z99" s="45"/>
      <c r="AA99" s="45"/>
      <c r="AB99" s="45"/>
      <c r="AC99" s="45"/>
      <c r="AD99" s="45"/>
      <c r="AE99" s="45"/>
      <c r="AF99" s="45"/>
      <c r="AG99" s="132"/>
      <c r="AH99" s="132"/>
      <c r="AI99" s="45"/>
      <c r="AJ99" s="45"/>
      <c r="AK99" s="45"/>
      <c r="AL99" s="45"/>
      <c r="AM99" s="45"/>
      <c r="AN99" s="45"/>
      <c r="AO99" s="45"/>
      <c r="AP99" s="45"/>
      <c r="AQ99" s="114"/>
    </row>
    <row r="100" spans="1:43" ht="15.75" customHeight="1">
      <c r="A100" s="44"/>
      <c r="B100" s="45"/>
      <c r="C100" s="45"/>
      <c r="D100" s="45"/>
      <c r="E100" s="45"/>
      <c r="F100" s="45"/>
      <c r="G100" s="45"/>
      <c r="H100" s="45"/>
      <c r="I100" s="45"/>
      <c r="J100" s="45"/>
      <c r="K100" s="45"/>
      <c r="L100" s="45"/>
      <c r="M100" s="45"/>
      <c r="N100" s="45"/>
      <c r="O100" s="45"/>
      <c r="P100" s="45"/>
      <c r="Q100" s="45"/>
      <c r="R100" s="45"/>
      <c r="S100" s="45"/>
      <c r="T100" s="45"/>
      <c r="U100" s="132"/>
      <c r="V100" s="45"/>
      <c r="W100" s="45"/>
      <c r="X100" s="45"/>
      <c r="Y100" s="45"/>
      <c r="Z100" s="45"/>
      <c r="AA100" s="45"/>
      <c r="AB100" s="45"/>
      <c r="AC100" s="45"/>
      <c r="AD100" s="45"/>
      <c r="AE100" s="45"/>
      <c r="AF100" s="45"/>
      <c r="AG100" s="132"/>
      <c r="AH100" s="132"/>
      <c r="AI100" s="45"/>
      <c r="AJ100" s="45"/>
      <c r="AK100" s="45"/>
      <c r="AL100" s="45"/>
      <c r="AM100" s="45"/>
      <c r="AN100" s="45"/>
      <c r="AO100" s="45"/>
      <c r="AP100" s="45"/>
      <c r="AQ100" s="114"/>
    </row>
    <row r="101" spans="1:43" ht="15.75" customHeight="1">
      <c r="A101" s="44"/>
      <c r="B101" s="45"/>
      <c r="C101" s="45"/>
      <c r="D101" s="45"/>
      <c r="E101" s="45"/>
      <c r="F101" s="45"/>
      <c r="G101" s="45"/>
      <c r="H101" s="45"/>
      <c r="I101" s="45"/>
      <c r="J101" s="45"/>
      <c r="K101" s="45"/>
      <c r="L101" s="45"/>
      <c r="M101" s="45"/>
      <c r="N101" s="45"/>
      <c r="O101" s="45"/>
      <c r="P101" s="45"/>
      <c r="Q101" s="45"/>
      <c r="R101" s="45"/>
      <c r="S101" s="45"/>
      <c r="T101" s="45"/>
      <c r="U101" s="132"/>
      <c r="V101" s="45"/>
      <c r="W101" s="45"/>
      <c r="X101" s="45"/>
      <c r="Y101" s="45"/>
      <c r="Z101" s="45"/>
      <c r="AA101" s="45"/>
      <c r="AB101" s="45"/>
      <c r="AC101" s="45"/>
      <c r="AD101" s="45"/>
      <c r="AE101" s="45"/>
      <c r="AF101" s="45"/>
      <c r="AG101" s="132"/>
      <c r="AH101" s="132"/>
      <c r="AI101" s="45"/>
      <c r="AJ101" s="45"/>
      <c r="AK101" s="45"/>
      <c r="AL101" s="45"/>
      <c r="AM101" s="45"/>
      <c r="AN101" s="45"/>
      <c r="AO101" s="45"/>
      <c r="AP101" s="45"/>
      <c r="AQ101" s="114"/>
    </row>
    <row r="102" spans="1:43" ht="15.75" customHeight="1">
      <c r="A102" s="44"/>
      <c r="B102" s="45"/>
      <c r="C102" s="45"/>
      <c r="D102" s="45"/>
      <c r="E102" s="45"/>
      <c r="F102" s="45"/>
      <c r="G102" s="45"/>
      <c r="H102" s="45"/>
      <c r="I102" s="45"/>
      <c r="J102" s="45"/>
      <c r="K102" s="45"/>
      <c r="L102" s="45"/>
      <c r="M102" s="45"/>
      <c r="N102" s="45"/>
      <c r="O102" s="45"/>
      <c r="P102" s="45"/>
      <c r="Q102" s="45"/>
      <c r="R102" s="45"/>
      <c r="S102" s="45"/>
      <c r="T102" s="45"/>
      <c r="U102" s="132"/>
      <c r="V102" s="45"/>
      <c r="W102" s="45"/>
      <c r="X102" s="45"/>
      <c r="Y102" s="45"/>
      <c r="Z102" s="45"/>
      <c r="AA102" s="45"/>
      <c r="AB102" s="45"/>
      <c r="AC102" s="45"/>
      <c r="AD102" s="45"/>
      <c r="AE102" s="45"/>
      <c r="AF102" s="45"/>
      <c r="AG102" s="132"/>
      <c r="AH102" s="132"/>
      <c r="AI102" s="45"/>
      <c r="AJ102" s="45"/>
      <c r="AK102" s="45"/>
      <c r="AL102" s="45"/>
      <c r="AM102" s="45"/>
      <c r="AN102" s="45"/>
      <c r="AO102" s="45"/>
      <c r="AP102" s="45"/>
      <c r="AQ102" s="114"/>
    </row>
    <row r="103" spans="1:43" ht="15.75" customHeight="1">
      <c r="A103" s="44"/>
      <c r="B103" s="45"/>
      <c r="C103" s="45"/>
      <c r="D103" s="45"/>
      <c r="E103" s="45"/>
      <c r="F103" s="45"/>
      <c r="G103" s="45"/>
      <c r="H103" s="45"/>
      <c r="I103" s="45"/>
      <c r="J103" s="45"/>
      <c r="K103" s="45"/>
      <c r="L103" s="45"/>
      <c r="M103" s="45"/>
      <c r="N103" s="45"/>
      <c r="O103" s="45"/>
      <c r="P103" s="45"/>
      <c r="Q103" s="45"/>
      <c r="R103" s="45"/>
      <c r="S103" s="45"/>
      <c r="T103" s="45"/>
      <c r="U103" s="132"/>
      <c r="V103" s="45"/>
      <c r="W103" s="45"/>
      <c r="X103" s="45"/>
      <c r="Y103" s="45"/>
      <c r="Z103" s="45"/>
      <c r="AA103" s="45"/>
      <c r="AB103" s="45"/>
      <c r="AC103" s="45"/>
      <c r="AD103" s="45"/>
      <c r="AE103" s="45"/>
      <c r="AF103" s="45"/>
      <c r="AG103" s="132"/>
      <c r="AH103" s="132"/>
      <c r="AI103" s="45"/>
      <c r="AJ103" s="45"/>
      <c r="AK103" s="45"/>
      <c r="AL103" s="45"/>
      <c r="AM103" s="45"/>
      <c r="AN103" s="45"/>
      <c r="AO103" s="45"/>
      <c r="AP103" s="45"/>
      <c r="AQ103" s="114"/>
    </row>
    <row r="104" spans="1:43" ht="15.75" customHeight="1">
      <c r="A104" s="44"/>
      <c r="B104" s="45"/>
      <c r="C104" s="45"/>
      <c r="D104" s="45"/>
      <c r="E104" s="45"/>
      <c r="F104" s="45"/>
      <c r="G104" s="45"/>
      <c r="H104" s="45"/>
      <c r="I104" s="45"/>
      <c r="J104" s="45"/>
      <c r="K104" s="45"/>
      <c r="L104" s="45"/>
      <c r="M104" s="45"/>
      <c r="N104" s="45"/>
      <c r="O104" s="45"/>
      <c r="P104" s="45"/>
      <c r="Q104" s="45"/>
      <c r="R104" s="45"/>
      <c r="S104" s="45"/>
      <c r="T104" s="45"/>
      <c r="U104" s="132"/>
      <c r="V104" s="45"/>
      <c r="W104" s="45"/>
      <c r="X104" s="45"/>
      <c r="Y104" s="45"/>
      <c r="Z104" s="45"/>
      <c r="AA104" s="45"/>
      <c r="AB104" s="45"/>
      <c r="AC104" s="45"/>
      <c r="AD104" s="45"/>
      <c r="AE104" s="45"/>
      <c r="AF104" s="45"/>
      <c r="AG104" s="132"/>
      <c r="AH104" s="132"/>
      <c r="AI104" s="45"/>
      <c r="AJ104" s="45"/>
      <c r="AK104" s="45"/>
      <c r="AL104" s="45"/>
      <c r="AM104" s="45"/>
      <c r="AN104" s="45"/>
      <c r="AO104" s="45"/>
      <c r="AP104" s="45"/>
      <c r="AQ104" s="114"/>
    </row>
    <row r="105" spans="1:43" ht="15.75" customHeight="1">
      <c r="A105" s="44"/>
      <c r="B105" s="45"/>
      <c r="C105" s="45"/>
      <c r="D105" s="45"/>
      <c r="E105" s="45"/>
      <c r="F105" s="45"/>
      <c r="G105" s="45"/>
      <c r="H105" s="45"/>
      <c r="I105" s="45"/>
      <c r="J105" s="45"/>
      <c r="K105" s="45"/>
      <c r="L105" s="45"/>
      <c r="M105" s="45"/>
      <c r="N105" s="45"/>
      <c r="O105" s="45"/>
      <c r="P105" s="45"/>
      <c r="Q105" s="45"/>
      <c r="R105" s="45"/>
      <c r="S105" s="45"/>
      <c r="T105" s="45"/>
      <c r="U105" s="132"/>
      <c r="V105" s="45"/>
      <c r="W105" s="45"/>
      <c r="X105" s="45"/>
      <c r="Y105" s="45"/>
      <c r="Z105" s="45"/>
      <c r="AA105" s="45"/>
      <c r="AB105" s="45"/>
      <c r="AC105" s="45"/>
      <c r="AD105" s="45"/>
      <c r="AE105" s="45"/>
      <c r="AF105" s="45"/>
      <c r="AG105" s="132"/>
      <c r="AH105" s="132"/>
      <c r="AI105" s="45"/>
      <c r="AJ105" s="45"/>
      <c r="AK105" s="45"/>
      <c r="AL105" s="45"/>
      <c r="AM105" s="45"/>
      <c r="AN105" s="45"/>
      <c r="AO105" s="45"/>
      <c r="AP105" s="45"/>
      <c r="AQ105" s="114"/>
    </row>
    <row r="106" spans="1:43" ht="15.75" customHeight="1">
      <c r="A106" s="44"/>
      <c r="B106" s="45"/>
      <c r="C106" s="45"/>
      <c r="D106" s="45"/>
      <c r="E106" s="45"/>
      <c r="F106" s="45"/>
      <c r="G106" s="45"/>
      <c r="H106" s="45"/>
      <c r="I106" s="45"/>
      <c r="J106" s="45"/>
      <c r="K106" s="45"/>
      <c r="L106" s="45"/>
      <c r="M106" s="45"/>
      <c r="N106" s="45"/>
      <c r="O106" s="45"/>
      <c r="P106" s="45"/>
      <c r="Q106" s="45"/>
      <c r="R106" s="45"/>
      <c r="S106" s="45"/>
      <c r="T106" s="45"/>
      <c r="U106" s="132"/>
      <c r="V106" s="45"/>
      <c r="W106" s="45"/>
      <c r="X106" s="45"/>
      <c r="Y106" s="45"/>
      <c r="Z106" s="45"/>
      <c r="AA106" s="45"/>
      <c r="AB106" s="45"/>
      <c r="AC106" s="45"/>
      <c r="AD106" s="45"/>
      <c r="AE106" s="45"/>
      <c r="AF106" s="45"/>
      <c r="AG106" s="132"/>
      <c r="AH106" s="132"/>
      <c r="AI106" s="45"/>
      <c r="AJ106" s="45"/>
      <c r="AK106" s="45"/>
      <c r="AL106" s="45"/>
      <c r="AM106" s="45"/>
      <c r="AN106" s="45"/>
      <c r="AO106" s="45"/>
      <c r="AP106" s="45"/>
      <c r="AQ106" s="114"/>
    </row>
    <row r="107" spans="1:43" ht="15.75" customHeight="1">
      <c r="A107" s="44"/>
      <c r="B107" s="45"/>
      <c r="C107" s="45"/>
      <c r="D107" s="45"/>
      <c r="E107" s="45"/>
      <c r="F107" s="45"/>
      <c r="G107" s="45"/>
      <c r="H107" s="45"/>
      <c r="I107" s="45"/>
      <c r="J107" s="45"/>
      <c r="K107" s="45"/>
      <c r="L107" s="45"/>
      <c r="M107" s="45"/>
      <c r="N107" s="45"/>
      <c r="O107" s="45"/>
      <c r="P107" s="45"/>
      <c r="Q107" s="45"/>
      <c r="R107" s="45"/>
      <c r="S107" s="45"/>
      <c r="T107" s="45"/>
      <c r="U107" s="132"/>
      <c r="V107" s="45"/>
      <c r="W107" s="45"/>
      <c r="X107" s="45"/>
      <c r="Y107" s="45"/>
      <c r="Z107" s="45"/>
      <c r="AA107" s="45"/>
      <c r="AB107" s="45"/>
      <c r="AC107" s="45"/>
      <c r="AD107" s="45"/>
      <c r="AE107" s="45"/>
      <c r="AF107" s="45"/>
      <c r="AG107" s="132"/>
      <c r="AH107" s="132"/>
      <c r="AI107" s="45"/>
      <c r="AJ107" s="45"/>
      <c r="AK107" s="45"/>
      <c r="AL107" s="45"/>
      <c r="AM107" s="45"/>
      <c r="AN107" s="45"/>
      <c r="AO107" s="45"/>
      <c r="AP107" s="45"/>
      <c r="AQ107" s="114"/>
    </row>
    <row r="108" spans="1:43" ht="15.75" customHeight="1">
      <c r="A108" s="44"/>
      <c r="B108" s="45"/>
      <c r="C108" s="45"/>
      <c r="D108" s="45"/>
      <c r="E108" s="45"/>
      <c r="F108" s="45"/>
      <c r="G108" s="45"/>
      <c r="H108" s="45"/>
      <c r="I108" s="45"/>
      <c r="J108" s="45"/>
      <c r="K108" s="45"/>
      <c r="L108" s="45"/>
      <c r="M108" s="45"/>
      <c r="N108" s="45"/>
      <c r="O108" s="45"/>
      <c r="P108" s="45"/>
      <c r="Q108" s="45"/>
      <c r="R108" s="45"/>
      <c r="S108" s="45"/>
      <c r="T108" s="45"/>
      <c r="U108" s="132"/>
      <c r="V108" s="45"/>
      <c r="W108" s="45"/>
      <c r="X108" s="45"/>
      <c r="Y108" s="45"/>
      <c r="Z108" s="45"/>
      <c r="AA108" s="45"/>
      <c r="AB108" s="45"/>
      <c r="AC108" s="45"/>
      <c r="AD108" s="45"/>
      <c r="AE108" s="45"/>
      <c r="AF108" s="45"/>
      <c r="AG108" s="132"/>
      <c r="AH108" s="132"/>
      <c r="AI108" s="45"/>
      <c r="AJ108" s="45"/>
      <c r="AK108" s="45"/>
      <c r="AL108" s="45"/>
      <c r="AM108" s="45"/>
      <c r="AN108" s="45"/>
      <c r="AO108" s="45"/>
      <c r="AP108" s="45"/>
      <c r="AQ108" s="114"/>
    </row>
    <row r="109" spans="1:43" ht="15.75" customHeight="1">
      <c r="A109" s="44"/>
      <c r="B109" s="45"/>
      <c r="C109" s="45"/>
      <c r="D109" s="45"/>
      <c r="E109" s="45"/>
      <c r="F109" s="45"/>
      <c r="G109" s="45"/>
      <c r="H109" s="45"/>
      <c r="I109" s="45"/>
      <c r="J109" s="45"/>
      <c r="K109" s="45"/>
      <c r="L109" s="45"/>
      <c r="M109" s="45"/>
      <c r="N109" s="45"/>
      <c r="O109" s="45"/>
      <c r="P109" s="45"/>
      <c r="Q109" s="45"/>
      <c r="R109" s="45"/>
      <c r="S109" s="45"/>
      <c r="T109" s="45"/>
      <c r="U109" s="132"/>
      <c r="V109" s="45"/>
      <c r="W109" s="45"/>
      <c r="X109" s="45"/>
      <c r="Y109" s="45"/>
      <c r="Z109" s="45"/>
      <c r="AA109" s="45"/>
      <c r="AB109" s="45"/>
      <c r="AC109" s="45"/>
      <c r="AD109" s="45"/>
      <c r="AE109" s="45"/>
      <c r="AF109" s="45"/>
      <c r="AG109" s="132"/>
      <c r="AH109" s="132"/>
      <c r="AI109" s="45"/>
      <c r="AJ109" s="45"/>
      <c r="AK109" s="45"/>
      <c r="AL109" s="45"/>
      <c r="AM109" s="45"/>
      <c r="AN109" s="45"/>
      <c r="AO109" s="45"/>
      <c r="AP109" s="45"/>
      <c r="AQ109" s="114"/>
    </row>
    <row r="110" spans="1:43" ht="15.75" customHeight="1">
      <c r="A110" s="44"/>
      <c r="B110" s="45"/>
      <c r="C110" s="45"/>
      <c r="D110" s="45"/>
      <c r="E110" s="45"/>
      <c r="F110" s="45"/>
      <c r="G110" s="45"/>
      <c r="H110" s="45"/>
      <c r="I110" s="45"/>
      <c r="J110" s="45"/>
      <c r="K110" s="45"/>
      <c r="L110" s="45"/>
      <c r="M110" s="45"/>
      <c r="N110" s="45"/>
      <c r="O110" s="45"/>
      <c r="P110" s="45"/>
      <c r="Q110" s="45"/>
      <c r="R110" s="45"/>
      <c r="S110" s="45"/>
      <c r="T110" s="45"/>
      <c r="U110" s="132"/>
      <c r="V110" s="45"/>
      <c r="W110" s="45"/>
      <c r="X110" s="45"/>
      <c r="Y110" s="45"/>
      <c r="Z110" s="45"/>
      <c r="AA110" s="45"/>
      <c r="AB110" s="45"/>
      <c r="AC110" s="45"/>
      <c r="AD110" s="45"/>
      <c r="AE110" s="45"/>
      <c r="AF110" s="45"/>
      <c r="AG110" s="132"/>
      <c r="AH110" s="132"/>
      <c r="AI110" s="45"/>
      <c r="AJ110" s="45"/>
      <c r="AK110" s="45"/>
      <c r="AL110" s="45"/>
      <c r="AM110" s="45"/>
      <c r="AN110" s="45"/>
      <c r="AO110" s="45"/>
      <c r="AP110" s="45"/>
      <c r="AQ110" s="114"/>
    </row>
    <row r="111" spans="1:43" ht="15.75" customHeight="1">
      <c r="A111" s="44"/>
      <c r="B111" s="45"/>
      <c r="C111" s="45"/>
      <c r="D111" s="45"/>
      <c r="E111" s="45"/>
      <c r="F111" s="45"/>
      <c r="G111" s="45"/>
      <c r="H111" s="45"/>
      <c r="I111" s="45"/>
      <c r="J111" s="45"/>
      <c r="K111" s="45"/>
      <c r="L111" s="45"/>
      <c r="M111" s="45"/>
      <c r="N111" s="45"/>
      <c r="O111" s="45"/>
      <c r="P111" s="45"/>
      <c r="Q111" s="45"/>
      <c r="R111" s="45"/>
      <c r="S111" s="45"/>
      <c r="T111" s="45"/>
      <c r="U111" s="132"/>
      <c r="V111" s="45"/>
      <c r="W111" s="45"/>
      <c r="X111" s="45"/>
      <c r="Y111" s="45"/>
      <c r="Z111" s="45"/>
      <c r="AA111" s="45"/>
      <c r="AB111" s="45"/>
      <c r="AC111" s="45"/>
      <c r="AD111" s="45"/>
      <c r="AE111" s="45"/>
      <c r="AF111" s="45"/>
      <c r="AG111" s="132"/>
      <c r="AH111" s="132"/>
      <c r="AI111" s="45"/>
      <c r="AJ111" s="45"/>
      <c r="AK111" s="45"/>
      <c r="AL111" s="45"/>
      <c r="AM111" s="45"/>
      <c r="AN111" s="45"/>
      <c r="AO111" s="45"/>
      <c r="AP111" s="45"/>
      <c r="AQ111" s="114"/>
    </row>
    <row r="112" spans="1:43" ht="15.75" customHeight="1">
      <c r="A112" s="44"/>
      <c r="B112" s="45"/>
      <c r="C112" s="45"/>
      <c r="D112" s="45"/>
      <c r="E112" s="45"/>
      <c r="F112" s="45"/>
      <c r="G112" s="45"/>
      <c r="H112" s="45"/>
      <c r="I112" s="45"/>
      <c r="J112" s="45"/>
      <c r="K112" s="45"/>
      <c r="L112" s="45"/>
      <c r="M112" s="45"/>
      <c r="N112" s="45"/>
      <c r="O112" s="45"/>
      <c r="P112" s="45"/>
      <c r="Q112" s="45"/>
      <c r="R112" s="45"/>
      <c r="S112" s="45"/>
      <c r="T112" s="45"/>
      <c r="U112" s="132"/>
      <c r="V112" s="45"/>
      <c r="W112" s="45"/>
      <c r="X112" s="45"/>
      <c r="Y112" s="45"/>
      <c r="Z112" s="45"/>
      <c r="AA112" s="45"/>
      <c r="AB112" s="45"/>
      <c r="AC112" s="45"/>
      <c r="AD112" s="45"/>
      <c r="AE112" s="45"/>
      <c r="AF112" s="45"/>
      <c r="AG112" s="132"/>
      <c r="AH112" s="132"/>
      <c r="AI112" s="45"/>
      <c r="AJ112" s="45"/>
      <c r="AK112" s="45"/>
      <c r="AL112" s="45"/>
      <c r="AM112" s="45"/>
      <c r="AN112" s="45"/>
      <c r="AO112" s="45"/>
      <c r="AP112" s="45"/>
      <c r="AQ112" s="114"/>
    </row>
    <row r="113" spans="1:43" ht="15.75" customHeight="1">
      <c r="A113" s="44"/>
      <c r="B113" s="45"/>
      <c r="C113" s="45"/>
      <c r="D113" s="45"/>
      <c r="E113" s="45"/>
      <c r="F113" s="45"/>
      <c r="G113" s="45"/>
      <c r="H113" s="45"/>
      <c r="I113" s="45"/>
      <c r="J113" s="45"/>
      <c r="K113" s="45"/>
      <c r="L113" s="45"/>
      <c r="M113" s="45"/>
      <c r="N113" s="45"/>
      <c r="O113" s="45"/>
      <c r="P113" s="45"/>
      <c r="Q113" s="45"/>
      <c r="R113" s="45"/>
      <c r="S113" s="45"/>
      <c r="T113" s="45"/>
      <c r="U113" s="132"/>
      <c r="V113" s="45"/>
      <c r="W113" s="45"/>
      <c r="X113" s="45"/>
      <c r="Y113" s="45"/>
      <c r="Z113" s="45"/>
      <c r="AA113" s="45"/>
      <c r="AB113" s="45"/>
      <c r="AC113" s="45"/>
      <c r="AD113" s="45"/>
      <c r="AE113" s="45"/>
      <c r="AF113" s="45"/>
      <c r="AG113" s="132"/>
      <c r="AH113" s="132"/>
      <c r="AI113" s="45"/>
      <c r="AJ113" s="45"/>
      <c r="AK113" s="45"/>
      <c r="AL113" s="45"/>
      <c r="AM113" s="45"/>
      <c r="AN113" s="45"/>
      <c r="AO113" s="45"/>
      <c r="AP113" s="45"/>
      <c r="AQ113" s="114"/>
    </row>
    <row r="114" spans="1:43" ht="15.75" customHeight="1">
      <c r="A114" s="44"/>
      <c r="B114" s="45"/>
      <c r="C114" s="45"/>
      <c r="D114" s="45"/>
      <c r="E114" s="45"/>
      <c r="F114" s="45"/>
      <c r="G114" s="45"/>
      <c r="H114" s="45"/>
      <c r="I114" s="45"/>
      <c r="J114" s="45"/>
      <c r="K114" s="45"/>
      <c r="L114" s="45"/>
      <c r="M114" s="45"/>
      <c r="N114" s="45"/>
      <c r="O114" s="45"/>
      <c r="P114" s="45"/>
      <c r="Q114" s="45"/>
      <c r="R114" s="45"/>
      <c r="S114" s="45"/>
      <c r="T114" s="45"/>
      <c r="U114" s="132"/>
      <c r="V114" s="45"/>
      <c r="W114" s="45"/>
      <c r="X114" s="45"/>
      <c r="Y114" s="45"/>
      <c r="Z114" s="45"/>
      <c r="AA114" s="45"/>
      <c r="AB114" s="45"/>
      <c r="AC114" s="45"/>
      <c r="AD114" s="45"/>
      <c r="AE114" s="45"/>
      <c r="AF114" s="45"/>
      <c r="AG114" s="132"/>
      <c r="AH114" s="132"/>
      <c r="AI114" s="45"/>
      <c r="AJ114" s="45"/>
      <c r="AK114" s="45"/>
      <c r="AL114" s="45"/>
      <c r="AM114" s="45"/>
      <c r="AN114" s="45"/>
      <c r="AO114" s="45"/>
      <c r="AP114" s="45"/>
      <c r="AQ114" s="114"/>
    </row>
    <row r="115" spans="1:43" ht="15.75" customHeight="1">
      <c r="A115" s="44"/>
      <c r="B115" s="45"/>
      <c r="C115" s="45"/>
      <c r="D115" s="45"/>
      <c r="E115" s="45"/>
      <c r="F115" s="45"/>
      <c r="G115" s="45"/>
      <c r="H115" s="45"/>
      <c r="I115" s="45"/>
      <c r="J115" s="45"/>
      <c r="K115" s="45"/>
      <c r="L115" s="45"/>
      <c r="M115" s="45"/>
      <c r="N115" s="45"/>
      <c r="O115" s="45"/>
      <c r="P115" s="45"/>
      <c r="Q115" s="45"/>
      <c r="R115" s="45"/>
      <c r="S115" s="45"/>
      <c r="T115" s="45"/>
      <c r="U115" s="132"/>
      <c r="V115" s="45"/>
      <c r="W115" s="45"/>
      <c r="X115" s="45"/>
      <c r="Y115" s="45"/>
      <c r="Z115" s="45"/>
      <c r="AA115" s="45"/>
      <c r="AB115" s="45"/>
      <c r="AC115" s="45"/>
      <c r="AD115" s="45"/>
      <c r="AE115" s="45"/>
      <c r="AF115" s="45"/>
      <c r="AG115" s="132"/>
      <c r="AH115" s="132"/>
      <c r="AI115" s="45"/>
      <c r="AJ115" s="45"/>
      <c r="AK115" s="45"/>
      <c r="AL115" s="45"/>
      <c r="AM115" s="45"/>
      <c r="AN115" s="45"/>
      <c r="AO115" s="45"/>
      <c r="AP115" s="45"/>
      <c r="AQ115" s="114"/>
    </row>
    <row r="116" spans="1:43" ht="15.75" customHeight="1">
      <c r="A116" s="44"/>
      <c r="B116" s="45"/>
      <c r="C116" s="45"/>
      <c r="D116" s="45"/>
      <c r="E116" s="45"/>
      <c r="F116" s="45"/>
      <c r="G116" s="45"/>
      <c r="H116" s="45"/>
      <c r="I116" s="45"/>
      <c r="J116" s="45"/>
      <c r="K116" s="45"/>
      <c r="L116" s="45"/>
      <c r="M116" s="45"/>
      <c r="N116" s="45"/>
      <c r="O116" s="45"/>
      <c r="P116" s="45"/>
      <c r="Q116" s="45"/>
      <c r="R116" s="45"/>
      <c r="S116" s="45"/>
      <c r="T116" s="45"/>
      <c r="U116" s="132"/>
      <c r="V116" s="45"/>
      <c r="W116" s="45"/>
      <c r="X116" s="45"/>
      <c r="Y116" s="45"/>
      <c r="Z116" s="45"/>
      <c r="AA116" s="45"/>
      <c r="AB116" s="45"/>
      <c r="AC116" s="45"/>
      <c r="AD116" s="45"/>
      <c r="AE116" s="45"/>
      <c r="AF116" s="45"/>
      <c r="AG116" s="132"/>
      <c r="AH116" s="132"/>
      <c r="AI116" s="45"/>
      <c r="AJ116" s="45"/>
      <c r="AK116" s="45"/>
      <c r="AL116" s="45"/>
      <c r="AM116" s="45"/>
      <c r="AN116" s="45"/>
      <c r="AO116" s="45"/>
      <c r="AP116" s="45"/>
      <c r="AQ116" s="114"/>
    </row>
    <row r="117" spans="1:43" ht="15.75" customHeight="1">
      <c r="A117" s="44"/>
      <c r="B117" s="45"/>
      <c r="C117" s="45"/>
      <c r="D117" s="45"/>
      <c r="E117" s="45"/>
      <c r="F117" s="45"/>
      <c r="G117" s="45"/>
      <c r="H117" s="45"/>
      <c r="I117" s="45"/>
      <c r="J117" s="45"/>
      <c r="K117" s="45"/>
      <c r="L117" s="45"/>
      <c r="M117" s="45"/>
      <c r="N117" s="45"/>
      <c r="O117" s="45"/>
      <c r="P117" s="45"/>
      <c r="Q117" s="45"/>
      <c r="R117" s="45"/>
      <c r="S117" s="45"/>
      <c r="T117" s="45"/>
      <c r="U117" s="132"/>
      <c r="V117" s="45"/>
      <c r="W117" s="45"/>
      <c r="X117" s="45"/>
      <c r="Y117" s="45"/>
      <c r="Z117" s="45"/>
      <c r="AA117" s="45"/>
      <c r="AB117" s="45"/>
      <c r="AC117" s="45"/>
      <c r="AD117" s="45"/>
      <c r="AE117" s="45"/>
      <c r="AF117" s="45"/>
      <c r="AG117" s="132"/>
      <c r="AH117" s="132"/>
      <c r="AI117" s="45"/>
      <c r="AJ117" s="45"/>
      <c r="AK117" s="45"/>
      <c r="AL117" s="45"/>
      <c r="AM117" s="45"/>
      <c r="AN117" s="45"/>
      <c r="AO117" s="45"/>
      <c r="AP117" s="45"/>
      <c r="AQ117" s="114"/>
    </row>
    <row r="118" spans="1:43" ht="15.75" customHeight="1">
      <c r="A118" s="44"/>
      <c r="B118" s="45"/>
      <c r="C118" s="45"/>
      <c r="D118" s="45"/>
      <c r="E118" s="45"/>
      <c r="F118" s="45"/>
      <c r="G118" s="45"/>
      <c r="H118" s="45"/>
      <c r="I118" s="45"/>
      <c r="J118" s="45"/>
      <c r="K118" s="45"/>
      <c r="L118" s="45"/>
      <c r="M118" s="45"/>
      <c r="N118" s="45"/>
      <c r="O118" s="45"/>
      <c r="P118" s="45"/>
      <c r="Q118" s="45"/>
      <c r="R118" s="45"/>
      <c r="S118" s="45"/>
      <c r="T118" s="45"/>
      <c r="U118" s="132"/>
      <c r="V118" s="45"/>
      <c r="W118" s="45"/>
      <c r="X118" s="45"/>
      <c r="Y118" s="45"/>
      <c r="Z118" s="45"/>
      <c r="AA118" s="45"/>
      <c r="AB118" s="45"/>
      <c r="AC118" s="45"/>
      <c r="AD118" s="45"/>
      <c r="AE118" s="45"/>
      <c r="AF118" s="45"/>
      <c r="AG118" s="132"/>
      <c r="AH118" s="132"/>
      <c r="AI118" s="45"/>
      <c r="AJ118" s="45"/>
      <c r="AK118" s="45"/>
      <c r="AL118" s="45"/>
      <c r="AM118" s="45"/>
      <c r="AN118" s="45"/>
      <c r="AO118" s="45"/>
      <c r="AP118" s="45"/>
      <c r="AQ118" s="114"/>
    </row>
    <row r="119" spans="1:43" ht="15.75" customHeight="1">
      <c r="A119" s="44"/>
      <c r="B119" s="45"/>
      <c r="C119" s="45"/>
      <c r="D119" s="45"/>
      <c r="E119" s="45"/>
      <c r="F119" s="45"/>
      <c r="G119" s="45"/>
      <c r="H119" s="45"/>
      <c r="I119" s="45"/>
      <c r="J119" s="45"/>
      <c r="K119" s="45"/>
      <c r="L119" s="45"/>
      <c r="M119" s="45"/>
      <c r="N119" s="45"/>
      <c r="O119" s="45"/>
      <c r="P119" s="45"/>
      <c r="Q119" s="45"/>
      <c r="R119" s="45"/>
      <c r="S119" s="45"/>
      <c r="T119" s="45"/>
      <c r="U119" s="132"/>
      <c r="V119" s="45"/>
      <c r="W119" s="45"/>
      <c r="X119" s="45"/>
      <c r="Y119" s="45"/>
      <c r="Z119" s="45"/>
      <c r="AA119" s="45"/>
      <c r="AB119" s="45"/>
      <c r="AC119" s="45"/>
      <c r="AD119" s="45"/>
      <c r="AE119" s="45"/>
      <c r="AF119" s="45"/>
      <c r="AG119" s="132"/>
      <c r="AH119" s="132"/>
      <c r="AI119" s="45"/>
      <c r="AJ119" s="45"/>
      <c r="AK119" s="45"/>
      <c r="AL119" s="45"/>
      <c r="AM119" s="45"/>
      <c r="AN119" s="45"/>
      <c r="AO119" s="45"/>
      <c r="AP119" s="45"/>
      <c r="AQ119" s="114"/>
    </row>
    <row r="120" spans="1:43" ht="15.75" customHeight="1">
      <c r="A120" s="44"/>
      <c r="B120" s="45"/>
      <c r="C120" s="45"/>
      <c r="D120" s="45"/>
      <c r="E120" s="45"/>
      <c r="F120" s="45"/>
      <c r="G120" s="45"/>
      <c r="H120" s="45"/>
      <c r="I120" s="45"/>
      <c r="J120" s="45"/>
      <c r="K120" s="45"/>
      <c r="L120" s="45"/>
      <c r="M120" s="45"/>
      <c r="N120" s="45"/>
      <c r="O120" s="45"/>
      <c r="P120" s="45"/>
      <c r="Q120" s="45"/>
      <c r="R120" s="45"/>
      <c r="S120" s="45"/>
      <c r="T120" s="45"/>
      <c r="U120" s="132"/>
      <c r="V120" s="45"/>
      <c r="W120" s="45"/>
      <c r="X120" s="45"/>
      <c r="Y120" s="45"/>
      <c r="Z120" s="45"/>
      <c r="AA120" s="45"/>
      <c r="AB120" s="45"/>
      <c r="AC120" s="45"/>
      <c r="AD120" s="45"/>
      <c r="AE120" s="45"/>
      <c r="AF120" s="45"/>
      <c r="AG120" s="132"/>
      <c r="AH120" s="132"/>
      <c r="AI120" s="45"/>
      <c r="AJ120" s="45"/>
      <c r="AK120" s="45"/>
      <c r="AL120" s="45"/>
      <c r="AM120" s="45"/>
      <c r="AN120" s="45"/>
      <c r="AO120" s="45"/>
      <c r="AP120" s="45"/>
      <c r="AQ120" s="114"/>
    </row>
    <row r="121" spans="1:43" ht="15.75" customHeight="1">
      <c r="A121" s="44"/>
      <c r="B121" s="45"/>
      <c r="C121" s="45"/>
      <c r="D121" s="45"/>
      <c r="E121" s="45"/>
      <c r="F121" s="45"/>
      <c r="G121" s="45"/>
      <c r="H121" s="45"/>
      <c r="I121" s="45"/>
      <c r="J121" s="45"/>
      <c r="K121" s="45"/>
      <c r="L121" s="45"/>
      <c r="M121" s="45"/>
      <c r="N121" s="45"/>
      <c r="O121" s="45"/>
      <c r="P121" s="45"/>
      <c r="Q121" s="45"/>
      <c r="R121" s="45"/>
      <c r="S121" s="45"/>
      <c r="T121" s="45"/>
      <c r="U121" s="132"/>
      <c r="V121" s="45"/>
      <c r="W121" s="45"/>
      <c r="X121" s="45"/>
      <c r="Y121" s="45"/>
      <c r="Z121" s="45"/>
      <c r="AA121" s="45"/>
      <c r="AB121" s="45"/>
      <c r="AC121" s="45"/>
      <c r="AD121" s="45"/>
      <c r="AE121" s="45"/>
      <c r="AF121" s="45"/>
      <c r="AG121" s="132"/>
      <c r="AH121" s="132"/>
      <c r="AI121" s="45"/>
      <c r="AJ121" s="45"/>
      <c r="AK121" s="45"/>
      <c r="AL121" s="45"/>
      <c r="AM121" s="45"/>
      <c r="AN121" s="45"/>
      <c r="AO121" s="45"/>
      <c r="AP121" s="45"/>
      <c r="AQ121" s="114"/>
    </row>
    <row r="122" spans="1:43" ht="15.75" customHeight="1">
      <c r="A122" s="44"/>
      <c r="B122" s="45"/>
      <c r="C122" s="45"/>
      <c r="D122" s="45"/>
      <c r="E122" s="45"/>
      <c r="F122" s="45"/>
      <c r="G122" s="45"/>
      <c r="H122" s="45"/>
      <c r="I122" s="45"/>
      <c r="J122" s="45"/>
      <c r="K122" s="45"/>
      <c r="L122" s="45"/>
      <c r="M122" s="45"/>
      <c r="N122" s="45"/>
      <c r="O122" s="45"/>
      <c r="P122" s="45"/>
      <c r="Q122" s="45"/>
      <c r="R122" s="45"/>
      <c r="S122" s="45"/>
      <c r="T122" s="45"/>
      <c r="U122" s="132"/>
      <c r="V122" s="45"/>
      <c r="W122" s="45"/>
      <c r="X122" s="45"/>
      <c r="Y122" s="45"/>
      <c r="Z122" s="45"/>
      <c r="AA122" s="45"/>
      <c r="AB122" s="45"/>
      <c r="AC122" s="45"/>
      <c r="AD122" s="45"/>
      <c r="AE122" s="45"/>
      <c r="AF122" s="45"/>
      <c r="AG122" s="132"/>
      <c r="AH122" s="132"/>
      <c r="AI122" s="45"/>
      <c r="AJ122" s="45"/>
      <c r="AK122" s="45"/>
      <c r="AL122" s="45"/>
      <c r="AM122" s="45"/>
      <c r="AN122" s="45"/>
      <c r="AO122" s="45"/>
      <c r="AP122" s="45"/>
      <c r="AQ122" s="114"/>
    </row>
    <row r="123" spans="1:43" ht="15.75" customHeight="1">
      <c r="A123" s="44"/>
      <c r="B123" s="45"/>
      <c r="C123" s="45"/>
      <c r="D123" s="45"/>
      <c r="E123" s="45"/>
      <c r="F123" s="45"/>
      <c r="G123" s="45"/>
      <c r="H123" s="45"/>
      <c r="I123" s="45"/>
      <c r="J123" s="45"/>
      <c r="K123" s="45"/>
      <c r="L123" s="45"/>
      <c r="M123" s="45"/>
      <c r="N123" s="45"/>
      <c r="O123" s="45"/>
      <c r="P123" s="45"/>
      <c r="Q123" s="45"/>
      <c r="R123" s="45"/>
      <c r="S123" s="45"/>
      <c r="T123" s="45"/>
      <c r="U123" s="132"/>
      <c r="V123" s="45"/>
      <c r="W123" s="45"/>
      <c r="X123" s="45"/>
      <c r="Y123" s="45"/>
      <c r="Z123" s="45"/>
      <c r="AA123" s="45"/>
      <c r="AB123" s="45"/>
      <c r="AC123" s="45"/>
      <c r="AD123" s="45"/>
      <c r="AE123" s="45"/>
      <c r="AF123" s="45"/>
      <c r="AG123" s="132"/>
      <c r="AH123" s="132"/>
      <c r="AI123" s="45"/>
      <c r="AJ123" s="45"/>
      <c r="AK123" s="45"/>
      <c r="AL123" s="45"/>
      <c r="AM123" s="45"/>
      <c r="AN123" s="45"/>
      <c r="AO123" s="45"/>
      <c r="AP123" s="45"/>
      <c r="AQ123" s="114"/>
    </row>
    <row r="124" spans="1:43" ht="15.75" customHeight="1">
      <c r="A124" s="44"/>
      <c r="B124" s="45"/>
      <c r="C124" s="45"/>
      <c r="D124" s="45"/>
      <c r="E124" s="45"/>
      <c r="F124" s="45"/>
      <c r="G124" s="45"/>
      <c r="H124" s="45"/>
      <c r="I124" s="45"/>
      <c r="J124" s="45"/>
      <c r="K124" s="45"/>
      <c r="L124" s="45"/>
      <c r="M124" s="45"/>
      <c r="N124" s="45"/>
      <c r="O124" s="45"/>
      <c r="P124" s="45"/>
      <c r="Q124" s="45"/>
      <c r="R124" s="45"/>
      <c r="S124" s="45"/>
      <c r="T124" s="45"/>
      <c r="U124" s="132"/>
      <c r="V124" s="45"/>
      <c r="W124" s="45"/>
      <c r="X124" s="45"/>
      <c r="Y124" s="45"/>
      <c r="Z124" s="45"/>
      <c r="AA124" s="45"/>
      <c r="AB124" s="45"/>
      <c r="AC124" s="45"/>
      <c r="AD124" s="45"/>
      <c r="AE124" s="45"/>
      <c r="AF124" s="45"/>
      <c r="AG124" s="132"/>
      <c r="AH124" s="132"/>
      <c r="AI124" s="45"/>
      <c r="AJ124" s="45"/>
      <c r="AK124" s="45"/>
      <c r="AL124" s="45"/>
      <c r="AM124" s="45"/>
      <c r="AN124" s="45"/>
      <c r="AO124" s="45"/>
      <c r="AP124" s="45"/>
      <c r="AQ124" s="114"/>
    </row>
    <row r="125" spans="1:43" ht="15.75" customHeight="1">
      <c r="A125" s="44"/>
      <c r="B125" s="45"/>
      <c r="C125" s="45"/>
      <c r="D125" s="45"/>
      <c r="E125" s="45"/>
      <c r="F125" s="45"/>
      <c r="G125" s="45"/>
      <c r="H125" s="45"/>
      <c r="I125" s="45"/>
      <c r="J125" s="45"/>
      <c r="K125" s="45"/>
      <c r="L125" s="45"/>
      <c r="M125" s="45"/>
      <c r="N125" s="45"/>
      <c r="O125" s="45"/>
      <c r="P125" s="45"/>
      <c r="Q125" s="45"/>
      <c r="R125" s="45"/>
      <c r="S125" s="45"/>
      <c r="T125" s="45"/>
      <c r="U125" s="132"/>
      <c r="V125" s="45"/>
      <c r="W125" s="45"/>
      <c r="X125" s="45"/>
      <c r="Y125" s="45"/>
      <c r="Z125" s="45"/>
      <c r="AA125" s="45"/>
      <c r="AB125" s="45"/>
      <c r="AC125" s="45"/>
      <c r="AD125" s="45"/>
      <c r="AE125" s="45"/>
      <c r="AF125" s="45"/>
      <c r="AG125" s="132"/>
      <c r="AH125" s="132"/>
      <c r="AI125" s="45"/>
      <c r="AJ125" s="45"/>
      <c r="AK125" s="45"/>
      <c r="AL125" s="45"/>
      <c r="AM125" s="45"/>
      <c r="AN125" s="45"/>
      <c r="AO125" s="45"/>
      <c r="AP125" s="45"/>
      <c r="AQ125" s="114"/>
    </row>
    <row r="126" spans="1:43" ht="15.75" customHeight="1">
      <c r="A126" s="44"/>
      <c r="B126" s="45"/>
      <c r="C126" s="45"/>
      <c r="D126" s="45"/>
      <c r="E126" s="45"/>
      <c r="F126" s="45"/>
      <c r="G126" s="45"/>
      <c r="H126" s="45"/>
      <c r="I126" s="45"/>
      <c r="J126" s="45"/>
      <c r="K126" s="45"/>
      <c r="L126" s="45"/>
      <c r="M126" s="45"/>
      <c r="N126" s="45"/>
      <c r="O126" s="45"/>
      <c r="P126" s="45"/>
      <c r="Q126" s="45"/>
      <c r="R126" s="45"/>
      <c r="S126" s="45"/>
      <c r="T126" s="45"/>
      <c r="U126" s="132"/>
      <c r="V126" s="45"/>
      <c r="W126" s="45"/>
      <c r="X126" s="45"/>
      <c r="Y126" s="45"/>
      <c r="Z126" s="45"/>
      <c r="AA126" s="45"/>
      <c r="AB126" s="45"/>
      <c r="AC126" s="45"/>
      <c r="AD126" s="45"/>
      <c r="AE126" s="45"/>
      <c r="AF126" s="45"/>
      <c r="AG126" s="132"/>
      <c r="AH126" s="132"/>
      <c r="AI126" s="45"/>
      <c r="AJ126" s="45"/>
      <c r="AK126" s="45"/>
      <c r="AL126" s="45"/>
      <c r="AM126" s="45"/>
      <c r="AN126" s="45"/>
      <c r="AO126" s="45"/>
      <c r="AP126" s="45"/>
      <c r="AQ126" s="114"/>
    </row>
    <row r="127" spans="1:43" ht="15.75" customHeight="1">
      <c r="A127" s="44"/>
      <c r="B127" s="45"/>
      <c r="C127" s="45"/>
      <c r="D127" s="45"/>
      <c r="E127" s="45"/>
      <c r="F127" s="45"/>
      <c r="G127" s="45"/>
      <c r="H127" s="45"/>
      <c r="I127" s="45"/>
      <c r="J127" s="45"/>
      <c r="K127" s="45"/>
      <c r="L127" s="45"/>
      <c r="M127" s="45"/>
      <c r="N127" s="45"/>
      <c r="O127" s="45"/>
      <c r="P127" s="45"/>
      <c r="Q127" s="45"/>
      <c r="R127" s="45"/>
      <c r="S127" s="45"/>
      <c r="T127" s="45"/>
      <c r="U127" s="132"/>
      <c r="V127" s="45"/>
      <c r="W127" s="45"/>
      <c r="X127" s="45"/>
      <c r="Y127" s="45"/>
      <c r="Z127" s="45"/>
      <c r="AA127" s="45"/>
      <c r="AB127" s="45"/>
      <c r="AC127" s="45"/>
      <c r="AD127" s="45"/>
      <c r="AE127" s="45"/>
      <c r="AF127" s="45"/>
      <c r="AG127" s="132"/>
      <c r="AH127" s="132"/>
      <c r="AI127" s="45"/>
      <c r="AJ127" s="45"/>
      <c r="AK127" s="45"/>
      <c r="AL127" s="45"/>
      <c r="AM127" s="45"/>
      <c r="AN127" s="45"/>
      <c r="AO127" s="45"/>
      <c r="AP127" s="45"/>
      <c r="AQ127" s="114"/>
    </row>
    <row r="128" spans="1:43" ht="15.75" customHeight="1">
      <c r="A128" s="44"/>
      <c r="B128" s="45"/>
      <c r="C128" s="45"/>
      <c r="D128" s="45"/>
      <c r="E128" s="45"/>
      <c r="F128" s="45"/>
      <c r="G128" s="45"/>
      <c r="H128" s="45"/>
      <c r="I128" s="45"/>
      <c r="J128" s="45"/>
      <c r="K128" s="45"/>
      <c r="L128" s="45"/>
      <c r="M128" s="45"/>
      <c r="N128" s="45"/>
      <c r="O128" s="45"/>
      <c r="P128" s="45"/>
      <c r="Q128" s="45"/>
      <c r="R128" s="45"/>
      <c r="S128" s="45"/>
      <c r="T128" s="45"/>
      <c r="U128" s="132"/>
      <c r="V128" s="45"/>
      <c r="W128" s="45"/>
      <c r="X128" s="45"/>
      <c r="Y128" s="45"/>
      <c r="Z128" s="45"/>
      <c r="AA128" s="45"/>
      <c r="AB128" s="45"/>
      <c r="AC128" s="45"/>
      <c r="AD128" s="45"/>
      <c r="AE128" s="45"/>
      <c r="AF128" s="45"/>
      <c r="AG128" s="132"/>
      <c r="AH128" s="132"/>
      <c r="AI128" s="45"/>
      <c r="AJ128" s="45"/>
      <c r="AK128" s="45"/>
      <c r="AL128" s="45"/>
      <c r="AM128" s="45"/>
      <c r="AN128" s="45"/>
      <c r="AO128" s="45"/>
      <c r="AP128" s="45"/>
      <c r="AQ128" s="114"/>
    </row>
    <row r="129" spans="1:43" ht="15.75" customHeight="1">
      <c r="A129" s="44"/>
      <c r="B129" s="45"/>
      <c r="C129" s="45"/>
      <c r="D129" s="45"/>
      <c r="E129" s="45"/>
      <c r="F129" s="45"/>
      <c r="G129" s="45"/>
      <c r="H129" s="45"/>
      <c r="I129" s="45"/>
      <c r="J129" s="45"/>
      <c r="K129" s="45"/>
      <c r="L129" s="45"/>
      <c r="M129" s="45"/>
      <c r="N129" s="45"/>
      <c r="O129" s="45"/>
      <c r="P129" s="45"/>
      <c r="Q129" s="45"/>
      <c r="R129" s="45"/>
      <c r="S129" s="45"/>
      <c r="T129" s="45"/>
      <c r="U129" s="132"/>
      <c r="V129" s="45"/>
      <c r="W129" s="45"/>
      <c r="X129" s="45"/>
      <c r="Y129" s="45"/>
      <c r="Z129" s="45"/>
      <c r="AA129" s="45"/>
      <c r="AB129" s="45"/>
      <c r="AC129" s="45"/>
      <c r="AD129" s="45"/>
      <c r="AE129" s="45"/>
      <c r="AF129" s="45"/>
      <c r="AG129" s="132"/>
      <c r="AH129" s="132"/>
      <c r="AI129" s="45"/>
      <c r="AJ129" s="45"/>
      <c r="AK129" s="45"/>
      <c r="AL129" s="45"/>
      <c r="AM129" s="45"/>
      <c r="AN129" s="45"/>
      <c r="AO129" s="45"/>
      <c r="AP129" s="45"/>
      <c r="AQ129" s="114"/>
    </row>
    <row r="130" spans="1:43" ht="15.75" customHeight="1">
      <c r="A130" s="44"/>
      <c r="B130" s="45"/>
      <c r="C130" s="45"/>
      <c r="D130" s="45"/>
      <c r="E130" s="45"/>
      <c r="F130" s="45"/>
      <c r="G130" s="45"/>
      <c r="H130" s="45"/>
      <c r="I130" s="45"/>
      <c r="J130" s="45"/>
      <c r="K130" s="45"/>
      <c r="L130" s="45"/>
      <c r="M130" s="45"/>
      <c r="N130" s="45"/>
      <c r="O130" s="45"/>
      <c r="P130" s="45"/>
      <c r="Q130" s="45"/>
      <c r="R130" s="45"/>
      <c r="S130" s="45"/>
      <c r="T130" s="45"/>
      <c r="U130" s="132"/>
      <c r="V130" s="45"/>
      <c r="W130" s="45"/>
      <c r="X130" s="45"/>
      <c r="Y130" s="45"/>
      <c r="Z130" s="45"/>
      <c r="AA130" s="45"/>
      <c r="AB130" s="45"/>
      <c r="AC130" s="45"/>
      <c r="AD130" s="45"/>
      <c r="AE130" s="45"/>
      <c r="AF130" s="45"/>
      <c r="AG130" s="132"/>
      <c r="AH130" s="132"/>
      <c r="AI130" s="45"/>
      <c r="AJ130" s="45"/>
      <c r="AK130" s="45"/>
      <c r="AL130" s="45"/>
      <c r="AM130" s="45"/>
      <c r="AN130" s="45"/>
      <c r="AO130" s="45"/>
      <c r="AP130" s="45"/>
      <c r="AQ130" s="114"/>
    </row>
    <row r="131" spans="1:43" ht="15.75" customHeight="1">
      <c r="A131" s="44"/>
      <c r="B131" s="45"/>
      <c r="C131" s="45"/>
      <c r="D131" s="45"/>
      <c r="E131" s="45"/>
      <c r="F131" s="45"/>
      <c r="G131" s="45"/>
      <c r="H131" s="45"/>
      <c r="I131" s="45"/>
      <c r="J131" s="45"/>
      <c r="K131" s="45"/>
      <c r="L131" s="45"/>
      <c r="M131" s="45"/>
      <c r="N131" s="45"/>
      <c r="O131" s="45"/>
      <c r="P131" s="45"/>
      <c r="Q131" s="45"/>
      <c r="R131" s="45"/>
      <c r="S131" s="45"/>
      <c r="T131" s="45"/>
      <c r="U131" s="132"/>
      <c r="V131" s="45"/>
      <c r="W131" s="45"/>
      <c r="X131" s="45"/>
      <c r="Y131" s="45"/>
      <c r="Z131" s="45"/>
      <c r="AA131" s="45"/>
      <c r="AB131" s="45"/>
      <c r="AC131" s="45"/>
      <c r="AD131" s="45"/>
      <c r="AE131" s="45"/>
      <c r="AF131" s="45"/>
      <c r="AG131" s="132"/>
      <c r="AH131" s="132"/>
      <c r="AI131" s="45"/>
      <c r="AJ131" s="45"/>
      <c r="AK131" s="45"/>
      <c r="AL131" s="45"/>
      <c r="AM131" s="45"/>
      <c r="AN131" s="45"/>
      <c r="AO131" s="45"/>
      <c r="AP131" s="45"/>
      <c r="AQ131" s="114"/>
    </row>
    <row r="132" spans="1:43" ht="15.75" customHeight="1">
      <c r="A132" s="44"/>
      <c r="B132" s="45"/>
      <c r="C132" s="45"/>
      <c r="D132" s="45"/>
      <c r="E132" s="45"/>
      <c r="F132" s="45"/>
      <c r="G132" s="45"/>
      <c r="H132" s="45"/>
      <c r="I132" s="45"/>
      <c r="J132" s="45"/>
      <c r="K132" s="45"/>
      <c r="L132" s="45"/>
      <c r="M132" s="45"/>
      <c r="N132" s="45"/>
      <c r="O132" s="45"/>
      <c r="P132" s="45"/>
      <c r="Q132" s="45"/>
      <c r="R132" s="45"/>
      <c r="S132" s="45"/>
      <c r="T132" s="45"/>
      <c r="U132" s="132"/>
      <c r="V132" s="45"/>
      <c r="W132" s="45"/>
      <c r="X132" s="45"/>
      <c r="Y132" s="45"/>
      <c r="Z132" s="45"/>
      <c r="AA132" s="45"/>
      <c r="AB132" s="45"/>
      <c r="AC132" s="45"/>
      <c r="AD132" s="45"/>
      <c r="AE132" s="45"/>
      <c r="AF132" s="45"/>
      <c r="AG132" s="132"/>
      <c r="AH132" s="132"/>
      <c r="AI132" s="45"/>
      <c r="AJ132" s="45"/>
      <c r="AK132" s="45"/>
      <c r="AL132" s="45"/>
      <c r="AM132" s="45"/>
      <c r="AN132" s="45"/>
      <c r="AO132" s="45"/>
      <c r="AP132" s="45"/>
      <c r="AQ132" s="114"/>
    </row>
    <row r="133" spans="1:43" ht="15.75" customHeight="1">
      <c r="A133" s="44"/>
      <c r="B133" s="45"/>
      <c r="C133" s="45"/>
      <c r="D133" s="45"/>
      <c r="E133" s="45"/>
      <c r="F133" s="45"/>
      <c r="G133" s="45"/>
      <c r="H133" s="45"/>
      <c r="I133" s="45"/>
      <c r="J133" s="45"/>
      <c r="K133" s="45"/>
      <c r="L133" s="45"/>
      <c r="M133" s="45"/>
      <c r="N133" s="45"/>
      <c r="O133" s="45"/>
      <c r="P133" s="45"/>
      <c r="Q133" s="45"/>
      <c r="R133" s="45"/>
      <c r="S133" s="45"/>
      <c r="T133" s="45"/>
      <c r="U133" s="132"/>
      <c r="V133" s="45"/>
      <c r="W133" s="45"/>
      <c r="X133" s="45"/>
      <c r="Y133" s="45"/>
      <c r="Z133" s="45"/>
      <c r="AA133" s="45"/>
      <c r="AB133" s="45"/>
      <c r="AC133" s="45"/>
      <c r="AD133" s="45"/>
      <c r="AE133" s="45"/>
      <c r="AF133" s="45"/>
      <c r="AG133" s="132"/>
      <c r="AH133" s="132"/>
      <c r="AI133" s="45"/>
      <c r="AJ133" s="45"/>
      <c r="AK133" s="45"/>
      <c r="AL133" s="45"/>
      <c r="AM133" s="45"/>
      <c r="AN133" s="45"/>
      <c r="AO133" s="45"/>
      <c r="AP133" s="45"/>
      <c r="AQ133" s="114"/>
    </row>
    <row r="134" spans="1:43" ht="15.75" customHeight="1">
      <c r="A134" s="44"/>
      <c r="B134" s="45"/>
      <c r="C134" s="45"/>
      <c r="D134" s="45"/>
      <c r="E134" s="45"/>
      <c r="F134" s="45"/>
      <c r="G134" s="45"/>
      <c r="H134" s="45"/>
      <c r="I134" s="45"/>
      <c r="J134" s="45"/>
      <c r="K134" s="45"/>
      <c r="L134" s="45"/>
      <c r="M134" s="45"/>
      <c r="N134" s="45"/>
      <c r="O134" s="45"/>
      <c r="P134" s="45"/>
      <c r="Q134" s="45"/>
      <c r="R134" s="45"/>
      <c r="S134" s="45"/>
      <c r="T134" s="45"/>
      <c r="U134" s="132"/>
      <c r="V134" s="45"/>
      <c r="W134" s="45"/>
      <c r="X134" s="45"/>
      <c r="Y134" s="45"/>
      <c r="Z134" s="45"/>
      <c r="AA134" s="45"/>
      <c r="AB134" s="45"/>
      <c r="AC134" s="45"/>
      <c r="AD134" s="45"/>
      <c r="AE134" s="45"/>
      <c r="AF134" s="45"/>
      <c r="AG134" s="132"/>
      <c r="AH134" s="132"/>
      <c r="AI134" s="45"/>
      <c r="AJ134" s="45"/>
      <c r="AK134" s="45"/>
      <c r="AL134" s="45"/>
      <c r="AM134" s="45"/>
      <c r="AN134" s="45"/>
      <c r="AO134" s="45"/>
      <c r="AP134" s="45"/>
      <c r="AQ134" s="114"/>
    </row>
    <row r="135" spans="1:43" ht="15.75" customHeight="1">
      <c r="A135" s="44"/>
      <c r="B135" s="45"/>
      <c r="C135" s="45"/>
      <c r="D135" s="45"/>
      <c r="E135" s="45"/>
      <c r="F135" s="45"/>
      <c r="G135" s="45"/>
      <c r="H135" s="45"/>
      <c r="I135" s="45"/>
      <c r="J135" s="45"/>
      <c r="K135" s="45"/>
      <c r="L135" s="45"/>
      <c r="M135" s="45"/>
      <c r="N135" s="45"/>
      <c r="O135" s="45"/>
      <c r="P135" s="45"/>
      <c r="Q135" s="45"/>
      <c r="R135" s="45"/>
      <c r="S135" s="45"/>
      <c r="T135" s="45"/>
      <c r="U135" s="132"/>
      <c r="V135" s="45"/>
      <c r="W135" s="45"/>
      <c r="X135" s="45"/>
      <c r="Y135" s="45"/>
      <c r="Z135" s="45"/>
      <c r="AA135" s="45"/>
      <c r="AB135" s="45"/>
      <c r="AC135" s="45"/>
      <c r="AD135" s="45"/>
      <c r="AE135" s="45"/>
      <c r="AF135" s="45"/>
      <c r="AG135" s="132"/>
      <c r="AH135" s="132"/>
      <c r="AI135" s="45"/>
      <c r="AJ135" s="45"/>
      <c r="AK135" s="45"/>
      <c r="AL135" s="45"/>
      <c r="AM135" s="45"/>
      <c r="AN135" s="45"/>
      <c r="AO135" s="45"/>
      <c r="AP135" s="45"/>
      <c r="AQ135" s="114"/>
    </row>
    <row r="136" spans="1:43" ht="15.75" customHeight="1">
      <c r="A136" s="44"/>
      <c r="B136" s="45"/>
      <c r="C136" s="45"/>
      <c r="D136" s="45"/>
      <c r="E136" s="45"/>
      <c r="F136" s="45"/>
      <c r="G136" s="45"/>
      <c r="H136" s="45"/>
      <c r="I136" s="45"/>
      <c r="J136" s="45"/>
      <c r="K136" s="45"/>
      <c r="L136" s="45"/>
      <c r="M136" s="45"/>
      <c r="N136" s="45"/>
      <c r="O136" s="45"/>
      <c r="P136" s="45"/>
      <c r="Q136" s="45"/>
      <c r="R136" s="45"/>
      <c r="S136" s="45"/>
      <c r="T136" s="45"/>
      <c r="U136" s="132"/>
      <c r="V136" s="45"/>
      <c r="W136" s="45"/>
      <c r="X136" s="45"/>
      <c r="Y136" s="45"/>
      <c r="Z136" s="45"/>
      <c r="AA136" s="45"/>
      <c r="AB136" s="45"/>
      <c r="AC136" s="45"/>
      <c r="AD136" s="45"/>
      <c r="AE136" s="45"/>
      <c r="AF136" s="45"/>
      <c r="AG136" s="132"/>
      <c r="AH136" s="132"/>
      <c r="AI136" s="45"/>
      <c r="AJ136" s="45"/>
      <c r="AK136" s="45"/>
      <c r="AL136" s="45"/>
      <c r="AM136" s="45"/>
      <c r="AN136" s="45"/>
      <c r="AO136" s="45"/>
      <c r="AP136" s="45"/>
      <c r="AQ136" s="114"/>
    </row>
    <row r="137" spans="1:43" ht="15.75" customHeight="1">
      <c r="A137" s="44"/>
      <c r="B137" s="45"/>
      <c r="C137" s="45"/>
      <c r="D137" s="45"/>
      <c r="E137" s="45"/>
      <c r="F137" s="45"/>
      <c r="G137" s="45"/>
      <c r="H137" s="45"/>
      <c r="I137" s="45"/>
      <c r="J137" s="45"/>
      <c r="K137" s="45"/>
      <c r="L137" s="45"/>
      <c r="M137" s="45"/>
      <c r="N137" s="45"/>
      <c r="O137" s="45"/>
      <c r="P137" s="45"/>
      <c r="Q137" s="45"/>
      <c r="R137" s="45"/>
      <c r="S137" s="45"/>
      <c r="T137" s="45"/>
      <c r="U137" s="132"/>
      <c r="V137" s="45"/>
      <c r="W137" s="45"/>
      <c r="X137" s="45"/>
      <c r="Y137" s="45"/>
      <c r="Z137" s="45"/>
      <c r="AA137" s="45"/>
      <c r="AB137" s="45"/>
      <c r="AC137" s="45"/>
      <c r="AD137" s="45"/>
      <c r="AE137" s="45"/>
      <c r="AF137" s="45"/>
      <c r="AG137" s="132"/>
      <c r="AH137" s="132"/>
      <c r="AI137" s="45"/>
      <c r="AJ137" s="45"/>
      <c r="AK137" s="45"/>
      <c r="AL137" s="45"/>
      <c r="AM137" s="45"/>
      <c r="AN137" s="45"/>
      <c r="AO137" s="45"/>
      <c r="AP137" s="45"/>
      <c r="AQ137" s="114"/>
    </row>
    <row r="138" spans="1:43" ht="15.75" customHeight="1">
      <c r="A138" s="44"/>
      <c r="B138" s="45"/>
      <c r="C138" s="45"/>
      <c r="D138" s="45"/>
      <c r="E138" s="45"/>
      <c r="F138" s="45"/>
      <c r="G138" s="45"/>
      <c r="H138" s="45"/>
      <c r="I138" s="45"/>
      <c r="J138" s="45"/>
      <c r="K138" s="45"/>
      <c r="L138" s="45"/>
      <c r="M138" s="45"/>
      <c r="N138" s="45"/>
      <c r="O138" s="45"/>
      <c r="P138" s="45"/>
      <c r="Q138" s="45"/>
      <c r="R138" s="45"/>
      <c r="S138" s="45"/>
      <c r="T138" s="45"/>
      <c r="U138" s="132"/>
      <c r="V138" s="45"/>
      <c r="W138" s="45"/>
      <c r="X138" s="45"/>
      <c r="Y138" s="45"/>
      <c r="Z138" s="45"/>
      <c r="AA138" s="45"/>
      <c r="AB138" s="45"/>
      <c r="AC138" s="45"/>
      <c r="AD138" s="45"/>
      <c r="AE138" s="45"/>
      <c r="AF138" s="45"/>
      <c r="AG138" s="132"/>
      <c r="AH138" s="132"/>
      <c r="AI138" s="45"/>
      <c r="AJ138" s="45"/>
      <c r="AK138" s="45"/>
      <c r="AL138" s="45"/>
      <c r="AM138" s="45"/>
      <c r="AN138" s="45"/>
      <c r="AO138" s="45"/>
      <c r="AP138" s="45"/>
      <c r="AQ138" s="114"/>
    </row>
    <row r="139" spans="1:43" ht="15.75" customHeight="1">
      <c r="A139" s="44"/>
      <c r="B139" s="45"/>
      <c r="C139" s="45"/>
      <c r="D139" s="45"/>
      <c r="E139" s="45"/>
      <c r="F139" s="45"/>
      <c r="G139" s="45"/>
      <c r="H139" s="45"/>
      <c r="I139" s="45"/>
      <c r="J139" s="45"/>
      <c r="K139" s="45"/>
      <c r="L139" s="45"/>
      <c r="M139" s="45"/>
      <c r="N139" s="45"/>
      <c r="O139" s="45"/>
      <c r="P139" s="45"/>
      <c r="Q139" s="45"/>
      <c r="R139" s="45"/>
      <c r="S139" s="45"/>
      <c r="T139" s="45"/>
      <c r="U139" s="132"/>
      <c r="V139" s="45"/>
      <c r="W139" s="45"/>
      <c r="X139" s="45"/>
      <c r="Y139" s="45"/>
      <c r="Z139" s="45"/>
      <c r="AA139" s="45"/>
      <c r="AB139" s="45"/>
      <c r="AC139" s="45"/>
      <c r="AD139" s="45"/>
      <c r="AE139" s="45"/>
      <c r="AF139" s="45"/>
      <c r="AG139" s="132"/>
      <c r="AH139" s="132"/>
      <c r="AI139" s="45"/>
      <c r="AJ139" s="45"/>
      <c r="AK139" s="45"/>
      <c r="AL139" s="45"/>
      <c r="AM139" s="45"/>
      <c r="AN139" s="45"/>
      <c r="AO139" s="45"/>
      <c r="AP139" s="45"/>
      <c r="AQ139" s="114"/>
    </row>
    <row r="140" spans="1:43" ht="15.75" customHeight="1">
      <c r="A140" s="44"/>
      <c r="B140" s="45"/>
      <c r="C140" s="45"/>
      <c r="D140" s="45"/>
      <c r="E140" s="45"/>
      <c r="F140" s="45"/>
      <c r="G140" s="45"/>
      <c r="H140" s="45"/>
      <c r="I140" s="45"/>
      <c r="J140" s="45"/>
      <c r="K140" s="45"/>
      <c r="L140" s="45"/>
      <c r="M140" s="45"/>
      <c r="N140" s="45"/>
      <c r="O140" s="45"/>
      <c r="P140" s="45"/>
      <c r="Q140" s="45"/>
      <c r="R140" s="45"/>
      <c r="S140" s="45"/>
      <c r="T140" s="45"/>
      <c r="U140" s="132"/>
      <c r="V140" s="45"/>
      <c r="W140" s="45"/>
      <c r="X140" s="45"/>
      <c r="Y140" s="45"/>
      <c r="Z140" s="45"/>
      <c r="AA140" s="45"/>
      <c r="AB140" s="45"/>
      <c r="AC140" s="45"/>
      <c r="AD140" s="45"/>
      <c r="AE140" s="45"/>
      <c r="AF140" s="45"/>
      <c r="AG140" s="132"/>
      <c r="AH140" s="132"/>
      <c r="AI140" s="45"/>
      <c r="AJ140" s="45"/>
      <c r="AK140" s="45"/>
      <c r="AL140" s="45"/>
      <c r="AM140" s="45"/>
      <c r="AN140" s="45"/>
      <c r="AO140" s="45"/>
      <c r="AP140" s="45"/>
      <c r="AQ140" s="114"/>
    </row>
    <row r="141" spans="1:43" ht="15.75" customHeight="1">
      <c r="A141" s="44"/>
      <c r="B141" s="45"/>
      <c r="C141" s="45"/>
      <c r="D141" s="45"/>
      <c r="E141" s="45"/>
      <c r="F141" s="45"/>
      <c r="G141" s="45"/>
      <c r="H141" s="45"/>
      <c r="I141" s="45"/>
      <c r="J141" s="45"/>
      <c r="K141" s="45"/>
      <c r="L141" s="45"/>
      <c r="M141" s="45"/>
      <c r="N141" s="45"/>
      <c r="O141" s="45"/>
      <c r="P141" s="45"/>
      <c r="Q141" s="45"/>
      <c r="R141" s="45"/>
      <c r="S141" s="45"/>
      <c r="T141" s="45"/>
      <c r="U141" s="132"/>
      <c r="V141" s="45"/>
      <c r="W141" s="45"/>
      <c r="X141" s="45"/>
      <c r="Y141" s="45"/>
      <c r="Z141" s="45"/>
      <c r="AA141" s="45"/>
      <c r="AB141" s="45"/>
      <c r="AC141" s="45"/>
      <c r="AD141" s="45"/>
      <c r="AE141" s="45"/>
      <c r="AF141" s="45"/>
      <c r="AG141" s="132"/>
      <c r="AH141" s="132"/>
      <c r="AI141" s="45"/>
      <c r="AJ141" s="45"/>
      <c r="AK141" s="45"/>
      <c r="AL141" s="45"/>
      <c r="AM141" s="45"/>
      <c r="AN141" s="45"/>
      <c r="AO141" s="45"/>
      <c r="AP141" s="45"/>
      <c r="AQ141" s="114"/>
    </row>
    <row r="142" spans="1:43" ht="15.75" customHeight="1">
      <c r="A142" s="44"/>
      <c r="B142" s="45"/>
      <c r="C142" s="45"/>
      <c r="D142" s="45"/>
      <c r="E142" s="45"/>
      <c r="F142" s="45"/>
      <c r="G142" s="45"/>
      <c r="H142" s="45"/>
      <c r="I142" s="45"/>
      <c r="J142" s="45"/>
      <c r="K142" s="45"/>
      <c r="L142" s="45"/>
      <c r="M142" s="45"/>
      <c r="N142" s="45"/>
      <c r="O142" s="45"/>
      <c r="P142" s="45"/>
      <c r="Q142" s="45"/>
      <c r="R142" s="45"/>
      <c r="S142" s="45"/>
      <c r="T142" s="45"/>
      <c r="U142" s="132"/>
      <c r="V142" s="45"/>
      <c r="W142" s="45"/>
      <c r="X142" s="45"/>
      <c r="Y142" s="45"/>
      <c r="Z142" s="45"/>
      <c r="AA142" s="45"/>
      <c r="AB142" s="45"/>
      <c r="AC142" s="45"/>
      <c r="AD142" s="45"/>
      <c r="AE142" s="45"/>
      <c r="AF142" s="45"/>
      <c r="AG142" s="132"/>
      <c r="AH142" s="132"/>
      <c r="AI142" s="45"/>
      <c r="AJ142" s="45"/>
      <c r="AK142" s="45"/>
      <c r="AL142" s="45"/>
      <c r="AM142" s="45"/>
      <c r="AN142" s="45"/>
      <c r="AO142" s="45"/>
      <c r="AP142" s="45"/>
      <c r="AQ142" s="114"/>
    </row>
    <row r="143" spans="1:43" ht="15.75" customHeight="1">
      <c r="A143" s="44"/>
      <c r="B143" s="45"/>
      <c r="C143" s="45"/>
      <c r="D143" s="45"/>
      <c r="E143" s="45"/>
      <c r="F143" s="45"/>
      <c r="G143" s="45"/>
      <c r="H143" s="45"/>
      <c r="I143" s="45"/>
      <c r="J143" s="45"/>
      <c r="K143" s="45"/>
      <c r="L143" s="45"/>
      <c r="M143" s="45"/>
      <c r="N143" s="45"/>
      <c r="O143" s="45"/>
      <c r="P143" s="45"/>
      <c r="Q143" s="45"/>
      <c r="R143" s="45"/>
      <c r="S143" s="45"/>
      <c r="T143" s="45"/>
      <c r="U143" s="132"/>
      <c r="V143" s="45"/>
      <c r="W143" s="45"/>
      <c r="X143" s="45"/>
      <c r="Y143" s="45"/>
      <c r="Z143" s="45"/>
      <c r="AA143" s="45"/>
      <c r="AB143" s="45"/>
      <c r="AC143" s="45"/>
      <c r="AD143" s="45"/>
      <c r="AE143" s="45"/>
      <c r="AF143" s="45"/>
      <c r="AG143" s="132"/>
      <c r="AH143" s="132"/>
      <c r="AI143" s="45"/>
      <c r="AJ143" s="45"/>
      <c r="AK143" s="45"/>
      <c r="AL143" s="45"/>
      <c r="AM143" s="45"/>
      <c r="AN143" s="45"/>
      <c r="AO143" s="45"/>
      <c r="AP143" s="45"/>
      <c r="AQ143" s="114"/>
    </row>
    <row r="144" spans="1:43" ht="15.75" customHeight="1">
      <c r="A144" s="44"/>
      <c r="B144" s="45"/>
      <c r="C144" s="45"/>
      <c r="D144" s="45"/>
      <c r="E144" s="45"/>
      <c r="F144" s="45"/>
      <c r="G144" s="45"/>
      <c r="H144" s="45"/>
      <c r="I144" s="45"/>
      <c r="J144" s="45"/>
      <c r="K144" s="45"/>
      <c r="L144" s="45"/>
      <c r="M144" s="45"/>
      <c r="N144" s="45"/>
      <c r="O144" s="45"/>
      <c r="P144" s="45"/>
      <c r="Q144" s="45"/>
      <c r="R144" s="45"/>
      <c r="S144" s="45"/>
      <c r="T144" s="45"/>
      <c r="U144" s="132"/>
      <c r="V144" s="45"/>
      <c r="W144" s="45"/>
      <c r="X144" s="45"/>
      <c r="Y144" s="45"/>
      <c r="Z144" s="45"/>
      <c r="AA144" s="45"/>
      <c r="AB144" s="45"/>
      <c r="AC144" s="45"/>
      <c r="AD144" s="45"/>
      <c r="AE144" s="45"/>
      <c r="AF144" s="45"/>
      <c r="AG144" s="132"/>
      <c r="AH144" s="132"/>
      <c r="AI144" s="45"/>
      <c r="AJ144" s="45"/>
      <c r="AK144" s="45"/>
      <c r="AL144" s="45"/>
      <c r="AM144" s="45"/>
      <c r="AN144" s="45"/>
      <c r="AO144" s="45"/>
      <c r="AP144" s="45"/>
      <c r="AQ144" s="114"/>
    </row>
    <row r="145" spans="1:43" ht="15.75" customHeight="1">
      <c r="A145" s="44"/>
      <c r="B145" s="45"/>
      <c r="C145" s="45"/>
      <c r="D145" s="45"/>
      <c r="E145" s="45"/>
      <c r="F145" s="45"/>
      <c r="G145" s="45"/>
      <c r="H145" s="45"/>
      <c r="I145" s="45"/>
      <c r="J145" s="45"/>
      <c r="K145" s="45"/>
      <c r="L145" s="45"/>
      <c r="M145" s="45"/>
      <c r="N145" s="45"/>
      <c r="O145" s="45"/>
      <c r="P145" s="45"/>
      <c r="Q145" s="45"/>
      <c r="R145" s="45"/>
      <c r="S145" s="45"/>
      <c r="T145" s="45"/>
      <c r="U145" s="132"/>
      <c r="V145" s="45"/>
      <c r="W145" s="45"/>
      <c r="X145" s="45"/>
      <c r="Y145" s="45"/>
      <c r="Z145" s="45"/>
      <c r="AA145" s="45"/>
      <c r="AB145" s="45"/>
      <c r="AC145" s="45"/>
      <c r="AD145" s="45"/>
      <c r="AE145" s="45"/>
      <c r="AF145" s="45"/>
      <c r="AG145" s="132"/>
      <c r="AH145" s="132"/>
      <c r="AI145" s="45"/>
      <c r="AJ145" s="45"/>
      <c r="AK145" s="45"/>
      <c r="AL145" s="45"/>
      <c r="AM145" s="45"/>
      <c r="AN145" s="45"/>
      <c r="AO145" s="45"/>
      <c r="AP145" s="45"/>
      <c r="AQ145" s="114"/>
    </row>
    <row r="146" spans="1:43" ht="15.75" customHeight="1">
      <c r="A146" s="44"/>
      <c r="B146" s="45"/>
      <c r="C146" s="45"/>
      <c r="D146" s="45"/>
      <c r="E146" s="45"/>
      <c r="F146" s="45"/>
      <c r="G146" s="45"/>
      <c r="H146" s="45"/>
      <c r="I146" s="45"/>
      <c r="J146" s="45"/>
      <c r="K146" s="45"/>
      <c r="L146" s="45"/>
      <c r="M146" s="45"/>
      <c r="N146" s="45"/>
      <c r="O146" s="45"/>
      <c r="P146" s="45"/>
      <c r="Q146" s="45"/>
      <c r="R146" s="45"/>
      <c r="S146" s="45"/>
      <c r="T146" s="45"/>
      <c r="U146" s="132"/>
      <c r="V146" s="45"/>
      <c r="W146" s="45"/>
      <c r="X146" s="45"/>
      <c r="Y146" s="45"/>
      <c r="Z146" s="45"/>
      <c r="AA146" s="45"/>
      <c r="AB146" s="45"/>
      <c r="AC146" s="45"/>
      <c r="AD146" s="45"/>
      <c r="AE146" s="45"/>
      <c r="AF146" s="45"/>
      <c r="AG146" s="132"/>
      <c r="AH146" s="132"/>
      <c r="AI146" s="45"/>
      <c r="AJ146" s="45"/>
      <c r="AK146" s="45"/>
      <c r="AL146" s="45"/>
      <c r="AM146" s="45"/>
      <c r="AN146" s="45"/>
      <c r="AO146" s="45"/>
      <c r="AP146" s="45"/>
      <c r="AQ146" s="114"/>
    </row>
    <row r="147" spans="1:43" ht="15.75" customHeight="1">
      <c r="A147" s="44"/>
      <c r="B147" s="45"/>
      <c r="C147" s="45"/>
      <c r="D147" s="45"/>
      <c r="E147" s="45"/>
      <c r="F147" s="45"/>
      <c r="G147" s="45"/>
      <c r="H147" s="45"/>
      <c r="I147" s="45"/>
      <c r="J147" s="45"/>
      <c r="K147" s="45"/>
      <c r="L147" s="45"/>
      <c r="M147" s="45"/>
      <c r="N147" s="45"/>
      <c r="O147" s="45"/>
      <c r="P147" s="45"/>
      <c r="Q147" s="45"/>
      <c r="R147" s="45"/>
      <c r="S147" s="45"/>
      <c r="T147" s="45"/>
      <c r="U147" s="132"/>
      <c r="V147" s="45"/>
      <c r="W147" s="45"/>
      <c r="X147" s="45"/>
      <c r="Y147" s="45"/>
      <c r="Z147" s="45"/>
      <c r="AA147" s="45"/>
      <c r="AB147" s="45"/>
      <c r="AC147" s="45"/>
      <c r="AD147" s="45"/>
      <c r="AE147" s="45"/>
      <c r="AF147" s="45"/>
      <c r="AG147" s="132"/>
      <c r="AH147" s="132"/>
      <c r="AI147" s="45"/>
      <c r="AJ147" s="45"/>
      <c r="AK147" s="45"/>
      <c r="AL147" s="45"/>
      <c r="AM147" s="45"/>
      <c r="AN147" s="45"/>
      <c r="AO147" s="45"/>
      <c r="AP147" s="45"/>
      <c r="AQ147" s="114"/>
    </row>
    <row r="148" spans="1:43" ht="15.75" customHeight="1">
      <c r="A148" s="44"/>
      <c r="B148" s="45"/>
      <c r="C148" s="45"/>
      <c r="D148" s="45"/>
      <c r="E148" s="45"/>
      <c r="F148" s="45"/>
      <c r="G148" s="45"/>
      <c r="H148" s="45"/>
      <c r="I148" s="45"/>
      <c r="J148" s="45"/>
      <c r="K148" s="45"/>
      <c r="L148" s="45"/>
      <c r="M148" s="45"/>
      <c r="N148" s="45"/>
      <c r="O148" s="45"/>
      <c r="P148" s="45"/>
      <c r="Q148" s="45"/>
      <c r="R148" s="45"/>
      <c r="S148" s="45"/>
      <c r="T148" s="45"/>
      <c r="U148" s="132"/>
      <c r="V148" s="45"/>
      <c r="W148" s="45"/>
      <c r="X148" s="45"/>
      <c r="Y148" s="45"/>
      <c r="Z148" s="45"/>
      <c r="AA148" s="45"/>
      <c r="AB148" s="45"/>
      <c r="AC148" s="45"/>
      <c r="AD148" s="45"/>
      <c r="AE148" s="45"/>
      <c r="AF148" s="45"/>
      <c r="AG148" s="132"/>
      <c r="AH148" s="132"/>
      <c r="AI148" s="45"/>
      <c r="AJ148" s="45"/>
      <c r="AK148" s="45"/>
      <c r="AL148" s="45"/>
      <c r="AM148" s="45"/>
      <c r="AN148" s="45"/>
      <c r="AO148" s="45"/>
      <c r="AP148" s="45"/>
      <c r="AQ148" s="114"/>
    </row>
    <row r="149" spans="1:43" ht="15.75" customHeight="1">
      <c r="A149" s="44"/>
      <c r="B149" s="45"/>
      <c r="C149" s="45"/>
      <c r="D149" s="45"/>
      <c r="E149" s="45"/>
      <c r="F149" s="45"/>
      <c r="G149" s="45"/>
      <c r="H149" s="45"/>
      <c r="I149" s="45"/>
      <c r="J149" s="45"/>
      <c r="K149" s="45"/>
      <c r="L149" s="45"/>
      <c r="M149" s="45"/>
      <c r="N149" s="45"/>
      <c r="O149" s="45"/>
      <c r="P149" s="45"/>
      <c r="Q149" s="45"/>
      <c r="R149" s="45"/>
      <c r="S149" s="45"/>
      <c r="T149" s="45"/>
      <c r="U149" s="132"/>
      <c r="V149" s="45"/>
      <c r="W149" s="45"/>
      <c r="X149" s="45"/>
      <c r="Y149" s="45"/>
      <c r="Z149" s="45"/>
      <c r="AA149" s="45"/>
      <c r="AB149" s="45"/>
      <c r="AC149" s="45"/>
      <c r="AD149" s="45"/>
      <c r="AE149" s="45"/>
      <c r="AF149" s="45"/>
      <c r="AG149" s="132"/>
      <c r="AH149" s="132"/>
      <c r="AI149" s="45"/>
      <c r="AJ149" s="45"/>
      <c r="AK149" s="45"/>
      <c r="AL149" s="45"/>
      <c r="AM149" s="45"/>
      <c r="AN149" s="45"/>
      <c r="AO149" s="45"/>
      <c r="AP149" s="45"/>
      <c r="AQ149" s="114"/>
    </row>
    <row r="150" spans="1:43" ht="15.75" customHeight="1">
      <c r="A150" s="44"/>
      <c r="B150" s="45"/>
      <c r="C150" s="45"/>
      <c r="D150" s="45"/>
      <c r="E150" s="45"/>
      <c r="F150" s="45"/>
      <c r="G150" s="45"/>
      <c r="H150" s="45"/>
      <c r="I150" s="45"/>
      <c r="J150" s="45"/>
      <c r="K150" s="45"/>
      <c r="L150" s="45"/>
      <c r="M150" s="45"/>
      <c r="N150" s="45"/>
      <c r="O150" s="45"/>
      <c r="P150" s="45"/>
      <c r="Q150" s="45"/>
      <c r="R150" s="45"/>
      <c r="S150" s="45"/>
      <c r="T150" s="45"/>
      <c r="U150" s="132"/>
      <c r="V150" s="45"/>
      <c r="W150" s="45"/>
      <c r="X150" s="45"/>
      <c r="Y150" s="45"/>
      <c r="Z150" s="45"/>
      <c r="AA150" s="45"/>
      <c r="AB150" s="45"/>
      <c r="AC150" s="45"/>
      <c r="AD150" s="45"/>
      <c r="AE150" s="45"/>
      <c r="AF150" s="45"/>
      <c r="AG150" s="132"/>
      <c r="AH150" s="132"/>
      <c r="AI150" s="45"/>
      <c r="AJ150" s="45"/>
      <c r="AK150" s="45"/>
      <c r="AL150" s="45"/>
      <c r="AM150" s="45"/>
      <c r="AN150" s="45"/>
      <c r="AO150" s="45"/>
      <c r="AP150" s="45"/>
      <c r="AQ150" s="114"/>
    </row>
    <row r="151" spans="1:43" ht="15.75" customHeight="1">
      <c r="A151" s="44"/>
      <c r="B151" s="45"/>
      <c r="C151" s="45"/>
      <c r="D151" s="45"/>
      <c r="E151" s="45"/>
      <c r="F151" s="45"/>
      <c r="G151" s="45"/>
      <c r="H151" s="45"/>
      <c r="I151" s="45"/>
      <c r="J151" s="45"/>
      <c r="K151" s="45"/>
      <c r="L151" s="45"/>
      <c r="M151" s="45"/>
      <c r="N151" s="45"/>
      <c r="O151" s="45"/>
      <c r="P151" s="45"/>
      <c r="Q151" s="45"/>
      <c r="R151" s="45"/>
      <c r="S151" s="45"/>
      <c r="T151" s="45"/>
      <c r="U151" s="132"/>
      <c r="V151" s="45"/>
      <c r="W151" s="45"/>
      <c r="X151" s="45"/>
      <c r="Y151" s="45"/>
      <c r="Z151" s="45"/>
      <c r="AA151" s="45"/>
      <c r="AB151" s="45"/>
      <c r="AC151" s="45"/>
      <c r="AD151" s="45"/>
      <c r="AE151" s="45"/>
      <c r="AF151" s="45"/>
      <c r="AG151" s="132"/>
      <c r="AH151" s="132"/>
      <c r="AI151" s="45"/>
      <c r="AJ151" s="45"/>
      <c r="AK151" s="45"/>
      <c r="AL151" s="45"/>
      <c r="AM151" s="45"/>
      <c r="AN151" s="45"/>
      <c r="AO151" s="45"/>
      <c r="AP151" s="45"/>
      <c r="AQ151" s="114"/>
    </row>
    <row r="152" spans="1:43" ht="15.75" customHeight="1">
      <c r="A152" s="44"/>
      <c r="B152" s="45"/>
      <c r="C152" s="45"/>
      <c r="D152" s="45"/>
      <c r="E152" s="45"/>
      <c r="F152" s="45"/>
      <c r="G152" s="45"/>
      <c r="H152" s="45"/>
      <c r="I152" s="45"/>
      <c r="J152" s="45"/>
      <c r="K152" s="45"/>
      <c r="L152" s="45"/>
      <c r="M152" s="45"/>
      <c r="N152" s="45"/>
      <c r="O152" s="45"/>
      <c r="P152" s="45"/>
      <c r="Q152" s="45"/>
      <c r="R152" s="45"/>
      <c r="S152" s="45"/>
      <c r="T152" s="45"/>
      <c r="U152" s="132"/>
      <c r="V152" s="45"/>
      <c r="W152" s="45"/>
      <c r="X152" s="45"/>
      <c r="Y152" s="45"/>
      <c r="Z152" s="45"/>
      <c r="AA152" s="45"/>
      <c r="AB152" s="45"/>
      <c r="AC152" s="45"/>
      <c r="AD152" s="45"/>
      <c r="AE152" s="45"/>
      <c r="AF152" s="45"/>
      <c r="AG152" s="132"/>
      <c r="AH152" s="132"/>
      <c r="AI152" s="45"/>
      <c r="AJ152" s="45"/>
      <c r="AK152" s="45"/>
      <c r="AL152" s="45"/>
      <c r="AM152" s="45"/>
      <c r="AN152" s="45"/>
      <c r="AO152" s="45"/>
      <c r="AP152" s="45"/>
      <c r="AQ152" s="114"/>
    </row>
    <row r="153" spans="1:43" ht="15.75" customHeight="1">
      <c r="A153" s="44"/>
      <c r="B153" s="45"/>
      <c r="C153" s="45"/>
      <c r="D153" s="45"/>
      <c r="E153" s="45"/>
      <c r="F153" s="45"/>
      <c r="G153" s="45"/>
      <c r="H153" s="45"/>
      <c r="I153" s="45"/>
      <c r="J153" s="45"/>
      <c r="K153" s="45"/>
      <c r="L153" s="45"/>
      <c r="M153" s="45"/>
      <c r="N153" s="45"/>
      <c r="O153" s="45"/>
      <c r="P153" s="45"/>
      <c r="Q153" s="45"/>
      <c r="R153" s="45"/>
      <c r="S153" s="45"/>
      <c r="T153" s="45"/>
      <c r="U153" s="132"/>
      <c r="V153" s="45"/>
      <c r="W153" s="45"/>
      <c r="X153" s="45"/>
      <c r="Y153" s="45"/>
      <c r="Z153" s="45"/>
      <c r="AA153" s="45"/>
      <c r="AB153" s="45"/>
      <c r="AC153" s="45"/>
      <c r="AD153" s="45"/>
      <c r="AE153" s="45"/>
      <c r="AF153" s="45"/>
      <c r="AG153" s="132"/>
      <c r="AH153" s="132"/>
      <c r="AI153" s="45"/>
      <c r="AJ153" s="45"/>
      <c r="AK153" s="45"/>
      <c r="AL153" s="45"/>
      <c r="AM153" s="45"/>
      <c r="AN153" s="45"/>
      <c r="AO153" s="45"/>
      <c r="AP153" s="45"/>
      <c r="AQ153" s="114"/>
    </row>
    <row r="154" spans="1:43" ht="15.75" customHeight="1">
      <c r="A154" s="44"/>
      <c r="B154" s="45"/>
      <c r="C154" s="45"/>
      <c r="D154" s="45"/>
      <c r="E154" s="45"/>
      <c r="F154" s="45"/>
      <c r="G154" s="45"/>
      <c r="H154" s="45"/>
      <c r="I154" s="45"/>
      <c r="J154" s="45"/>
      <c r="K154" s="45"/>
      <c r="L154" s="45"/>
      <c r="M154" s="45"/>
      <c r="N154" s="45"/>
      <c r="O154" s="45"/>
      <c r="P154" s="45"/>
      <c r="Q154" s="45"/>
      <c r="R154" s="45"/>
      <c r="S154" s="45"/>
      <c r="T154" s="45"/>
      <c r="U154" s="132"/>
      <c r="V154" s="45"/>
      <c r="W154" s="45"/>
      <c r="X154" s="45"/>
      <c r="Y154" s="45"/>
      <c r="Z154" s="45"/>
      <c r="AA154" s="45"/>
      <c r="AB154" s="45"/>
      <c r="AC154" s="45"/>
      <c r="AD154" s="45"/>
      <c r="AE154" s="45"/>
      <c r="AF154" s="45"/>
      <c r="AG154" s="132"/>
      <c r="AH154" s="132"/>
      <c r="AI154" s="45"/>
      <c r="AJ154" s="45"/>
      <c r="AK154" s="45"/>
      <c r="AL154" s="45"/>
      <c r="AM154" s="45"/>
      <c r="AN154" s="45"/>
      <c r="AO154" s="45"/>
      <c r="AP154" s="45"/>
      <c r="AQ154" s="114"/>
    </row>
    <row r="155" spans="1:43" ht="15.75" customHeight="1">
      <c r="A155" s="44"/>
      <c r="B155" s="45"/>
      <c r="C155" s="45"/>
      <c r="D155" s="45"/>
      <c r="E155" s="45"/>
      <c r="F155" s="45"/>
      <c r="G155" s="45"/>
      <c r="H155" s="45"/>
      <c r="I155" s="45"/>
      <c r="J155" s="45"/>
      <c r="K155" s="45"/>
      <c r="L155" s="45"/>
      <c r="M155" s="45"/>
      <c r="N155" s="45"/>
      <c r="O155" s="45"/>
      <c r="P155" s="45"/>
      <c r="Q155" s="45"/>
      <c r="R155" s="45"/>
      <c r="S155" s="45"/>
      <c r="T155" s="45"/>
      <c r="U155" s="132"/>
      <c r="V155" s="45"/>
      <c r="W155" s="45"/>
      <c r="X155" s="45"/>
      <c r="Y155" s="45"/>
      <c r="Z155" s="45"/>
      <c r="AA155" s="45"/>
      <c r="AB155" s="45"/>
      <c r="AC155" s="45"/>
      <c r="AD155" s="45"/>
      <c r="AE155" s="45"/>
      <c r="AF155" s="45"/>
      <c r="AG155" s="132"/>
      <c r="AH155" s="132"/>
      <c r="AI155" s="45"/>
      <c r="AJ155" s="45"/>
      <c r="AK155" s="45"/>
      <c r="AL155" s="45"/>
      <c r="AM155" s="45"/>
      <c r="AN155" s="45"/>
      <c r="AO155" s="45"/>
      <c r="AP155" s="45"/>
      <c r="AQ155" s="114"/>
    </row>
    <row r="156" spans="1:43" ht="15.75" customHeight="1">
      <c r="A156" s="44"/>
      <c r="B156" s="45"/>
      <c r="C156" s="45"/>
      <c r="D156" s="45"/>
      <c r="E156" s="45"/>
      <c r="F156" s="45"/>
      <c r="G156" s="45"/>
      <c r="H156" s="45"/>
      <c r="I156" s="45"/>
      <c r="J156" s="45"/>
      <c r="K156" s="45"/>
      <c r="L156" s="45"/>
      <c r="M156" s="45"/>
      <c r="N156" s="45"/>
      <c r="O156" s="45"/>
      <c r="P156" s="45"/>
      <c r="Q156" s="45"/>
      <c r="R156" s="45"/>
      <c r="S156" s="45"/>
      <c r="T156" s="45"/>
      <c r="U156" s="132"/>
      <c r="V156" s="45"/>
      <c r="W156" s="45"/>
      <c r="X156" s="45"/>
      <c r="Y156" s="45"/>
      <c r="Z156" s="45"/>
      <c r="AA156" s="45"/>
      <c r="AB156" s="45"/>
      <c r="AC156" s="45"/>
      <c r="AD156" s="45"/>
      <c r="AE156" s="45"/>
      <c r="AF156" s="45"/>
      <c r="AG156" s="132"/>
      <c r="AH156" s="132"/>
      <c r="AI156" s="45"/>
      <c r="AJ156" s="45"/>
      <c r="AK156" s="45"/>
      <c r="AL156" s="45"/>
      <c r="AM156" s="45"/>
      <c r="AN156" s="45"/>
      <c r="AO156" s="45"/>
      <c r="AP156" s="45"/>
      <c r="AQ156" s="114"/>
    </row>
    <row r="157" spans="1:43" ht="15.75" customHeight="1">
      <c r="A157" s="44"/>
      <c r="B157" s="45"/>
      <c r="C157" s="45"/>
      <c r="D157" s="45"/>
      <c r="E157" s="45"/>
      <c r="F157" s="45"/>
      <c r="G157" s="45"/>
      <c r="H157" s="45"/>
      <c r="I157" s="45"/>
      <c r="J157" s="45"/>
      <c r="K157" s="45"/>
      <c r="L157" s="45"/>
      <c r="M157" s="45"/>
      <c r="N157" s="45"/>
      <c r="O157" s="45"/>
      <c r="P157" s="45"/>
      <c r="Q157" s="45"/>
      <c r="R157" s="45"/>
      <c r="S157" s="45"/>
      <c r="T157" s="45"/>
      <c r="U157" s="132"/>
      <c r="V157" s="45"/>
      <c r="W157" s="45"/>
      <c r="X157" s="45"/>
      <c r="Y157" s="45"/>
      <c r="Z157" s="45"/>
      <c r="AA157" s="45"/>
      <c r="AB157" s="45"/>
      <c r="AC157" s="45"/>
      <c r="AD157" s="45"/>
      <c r="AE157" s="45"/>
      <c r="AF157" s="45"/>
      <c r="AG157" s="132"/>
      <c r="AH157" s="132"/>
      <c r="AI157" s="45"/>
      <c r="AJ157" s="45"/>
      <c r="AK157" s="45"/>
      <c r="AL157" s="45"/>
      <c r="AM157" s="45"/>
      <c r="AN157" s="45"/>
      <c r="AO157" s="45"/>
      <c r="AP157" s="45"/>
      <c r="AQ157" s="114"/>
    </row>
    <row r="158" spans="1:43" ht="15.75" customHeight="1">
      <c r="A158" s="44"/>
      <c r="B158" s="45"/>
      <c r="C158" s="45"/>
      <c r="D158" s="45"/>
      <c r="E158" s="45"/>
      <c r="F158" s="45"/>
      <c r="G158" s="45"/>
      <c r="H158" s="45"/>
      <c r="I158" s="45"/>
      <c r="J158" s="45"/>
      <c r="K158" s="45"/>
      <c r="L158" s="45"/>
      <c r="M158" s="45"/>
      <c r="N158" s="45"/>
      <c r="O158" s="45"/>
      <c r="P158" s="45"/>
      <c r="Q158" s="45"/>
      <c r="R158" s="45"/>
      <c r="S158" s="45"/>
      <c r="T158" s="45"/>
      <c r="U158" s="132"/>
      <c r="V158" s="45"/>
      <c r="W158" s="45"/>
      <c r="X158" s="45"/>
      <c r="Y158" s="45"/>
      <c r="Z158" s="45"/>
      <c r="AA158" s="45"/>
      <c r="AB158" s="45"/>
      <c r="AC158" s="45"/>
      <c r="AD158" s="45"/>
      <c r="AE158" s="45"/>
      <c r="AF158" s="45"/>
      <c r="AG158" s="132"/>
      <c r="AH158" s="132"/>
      <c r="AI158" s="45"/>
      <c r="AJ158" s="45"/>
      <c r="AK158" s="45"/>
      <c r="AL158" s="45"/>
      <c r="AM158" s="45"/>
      <c r="AN158" s="45"/>
      <c r="AO158" s="45"/>
      <c r="AP158" s="45"/>
      <c r="AQ158" s="114"/>
    </row>
    <row r="159" spans="1:43" ht="15.75" customHeight="1">
      <c r="A159" s="44"/>
      <c r="B159" s="45"/>
      <c r="C159" s="45"/>
      <c r="D159" s="45"/>
      <c r="E159" s="45"/>
      <c r="F159" s="45"/>
      <c r="G159" s="45"/>
      <c r="H159" s="45"/>
      <c r="I159" s="45"/>
      <c r="J159" s="45"/>
      <c r="K159" s="45"/>
      <c r="L159" s="45"/>
      <c r="M159" s="45"/>
      <c r="N159" s="45"/>
      <c r="O159" s="45"/>
      <c r="P159" s="45"/>
      <c r="Q159" s="45"/>
      <c r="R159" s="45"/>
      <c r="S159" s="45"/>
      <c r="T159" s="45"/>
      <c r="U159" s="132"/>
      <c r="V159" s="45"/>
      <c r="W159" s="45"/>
      <c r="X159" s="45"/>
      <c r="Y159" s="45"/>
      <c r="Z159" s="45"/>
      <c r="AA159" s="45"/>
      <c r="AB159" s="45"/>
      <c r="AC159" s="45"/>
      <c r="AD159" s="45"/>
      <c r="AE159" s="45"/>
      <c r="AF159" s="45"/>
      <c r="AG159" s="132"/>
      <c r="AH159" s="132"/>
      <c r="AI159" s="45"/>
      <c r="AJ159" s="45"/>
      <c r="AK159" s="45"/>
      <c r="AL159" s="45"/>
      <c r="AM159" s="45"/>
      <c r="AN159" s="45"/>
      <c r="AO159" s="45"/>
      <c r="AP159" s="45"/>
      <c r="AQ159" s="114"/>
    </row>
    <row r="160" spans="1:43" ht="15.75" customHeight="1">
      <c r="A160" s="44"/>
      <c r="B160" s="45"/>
      <c r="C160" s="45"/>
      <c r="D160" s="45"/>
      <c r="E160" s="45"/>
      <c r="F160" s="45"/>
      <c r="G160" s="45"/>
      <c r="H160" s="45"/>
      <c r="I160" s="45"/>
      <c r="J160" s="45"/>
      <c r="K160" s="45"/>
      <c r="L160" s="45"/>
      <c r="M160" s="45"/>
      <c r="N160" s="45"/>
      <c r="O160" s="45"/>
      <c r="P160" s="45"/>
      <c r="Q160" s="45"/>
      <c r="R160" s="45"/>
      <c r="S160" s="45"/>
      <c r="T160" s="45"/>
      <c r="U160" s="132"/>
      <c r="V160" s="45"/>
      <c r="W160" s="45"/>
      <c r="X160" s="45"/>
      <c r="Y160" s="45"/>
      <c r="Z160" s="45"/>
      <c r="AA160" s="45"/>
      <c r="AB160" s="45"/>
      <c r="AC160" s="45"/>
      <c r="AD160" s="45"/>
      <c r="AE160" s="45"/>
      <c r="AF160" s="45"/>
      <c r="AG160" s="132"/>
      <c r="AH160" s="132"/>
      <c r="AI160" s="45"/>
      <c r="AJ160" s="45"/>
      <c r="AK160" s="45"/>
      <c r="AL160" s="45"/>
      <c r="AM160" s="45"/>
      <c r="AN160" s="45"/>
      <c r="AO160" s="45"/>
      <c r="AP160" s="45"/>
      <c r="AQ160" s="114"/>
    </row>
    <row r="161" spans="1:43" ht="15.75" customHeight="1">
      <c r="A161" s="44"/>
      <c r="B161" s="45"/>
      <c r="C161" s="45"/>
      <c r="D161" s="45"/>
      <c r="E161" s="45"/>
      <c r="F161" s="45"/>
      <c r="G161" s="45"/>
      <c r="H161" s="45"/>
      <c r="I161" s="45"/>
      <c r="J161" s="45"/>
      <c r="K161" s="45"/>
      <c r="L161" s="45"/>
      <c r="M161" s="45"/>
      <c r="N161" s="45"/>
      <c r="O161" s="45"/>
      <c r="P161" s="45"/>
      <c r="Q161" s="45"/>
      <c r="R161" s="45"/>
      <c r="S161" s="45"/>
      <c r="T161" s="45"/>
      <c r="U161" s="132"/>
      <c r="V161" s="45"/>
      <c r="W161" s="45"/>
      <c r="X161" s="45"/>
      <c r="Y161" s="45"/>
      <c r="Z161" s="45"/>
      <c r="AA161" s="45"/>
      <c r="AB161" s="45"/>
      <c r="AC161" s="45"/>
      <c r="AD161" s="45"/>
      <c r="AE161" s="45"/>
      <c r="AF161" s="45"/>
      <c r="AG161" s="132"/>
      <c r="AH161" s="132"/>
      <c r="AI161" s="45"/>
      <c r="AJ161" s="45"/>
      <c r="AK161" s="45"/>
      <c r="AL161" s="45"/>
      <c r="AM161" s="45"/>
      <c r="AN161" s="45"/>
      <c r="AO161" s="45"/>
      <c r="AP161" s="45"/>
      <c r="AQ161" s="114"/>
    </row>
    <row r="162" spans="1:43" ht="15.75" customHeight="1">
      <c r="A162" s="44"/>
      <c r="B162" s="45"/>
      <c r="C162" s="45"/>
      <c r="D162" s="45"/>
      <c r="E162" s="45"/>
      <c r="F162" s="45"/>
      <c r="G162" s="45"/>
      <c r="H162" s="45"/>
      <c r="I162" s="45"/>
      <c r="J162" s="45"/>
      <c r="K162" s="45"/>
      <c r="L162" s="45"/>
      <c r="M162" s="45"/>
      <c r="N162" s="45"/>
      <c r="O162" s="45"/>
      <c r="P162" s="45"/>
      <c r="Q162" s="45"/>
      <c r="R162" s="45"/>
      <c r="S162" s="45"/>
      <c r="T162" s="45"/>
      <c r="U162" s="132"/>
      <c r="V162" s="45"/>
      <c r="W162" s="45"/>
      <c r="X162" s="45"/>
      <c r="Y162" s="45"/>
      <c r="Z162" s="45"/>
      <c r="AA162" s="45"/>
      <c r="AB162" s="45"/>
      <c r="AC162" s="45"/>
      <c r="AD162" s="45"/>
      <c r="AE162" s="45"/>
      <c r="AF162" s="45"/>
      <c r="AG162" s="132"/>
      <c r="AH162" s="132"/>
      <c r="AI162" s="45"/>
      <c r="AJ162" s="45"/>
      <c r="AK162" s="45"/>
      <c r="AL162" s="45"/>
      <c r="AM162" s="45"/>
      <c r="AN162" s="45"/>
      <c r="AO162" s="45"/>
      <c r="AP162" s="45"/>
      <c r="AQ162" s="114"/>
    </row>
    <row r="163" spans="1:43" ht="15.75" customHeight="1">
      <c r="A163" s="44"/>
      <c r="B163" s="45"/>
      <c r="C163" s="45"/>
      <c r="D163" s="45"/>
      <c r="E163" s="45"/>
      <c r="F163" s="45"/>
      <c r="G163" s="45"/>
      <c r="H163" s="45"/>
      <c r="I163" s="45"/>
      <c r="J163" s="45"/>
      <c r="K163" s="45"/>
      <c r="L163" s="45"/>
      <c r="M163" s="45"/>
      <c r="N163" s="45"/>
      <c r="O163" s="45"/>
      <c r="P163" s="45"/>
      <c r="Q163" s="45"/>
      <c r="R163" s="45"/>
      <c r="S163" s="45"/>
      <c r="T163" s="45"/>
      <c r="U163" s="132"/>
      <c r="V163" s="45"/>
      <c r="W163" s="45"/>
      <c r="X163" s="45"/>
      <c r="Y163" s="45"/>
      <c r="Z163" s="45"/>
      <c r="AA163" s="45"/>
      <c r="AB163" s="45"/>
      <c r="AC163" s="45"/>
      <c r="AD163" s="45"/>
      <c r="AE163" s="45"/>
      <c r="AF163" s="45"/>
      <c r="AG163" s="132"/>
      <c r="AH163" s="132"/>
      <c r="AI163" s="45"/>
      <c r="AJ163" s="45"/>
      <c r="AK163" s="45"/>
      <c r="AL163" s="45"/>
      <c r="AM163" s="45"/>
      <c r="AN163" s="45"/>
      <c r="AO163" s="45"/>
      <c r="AP163" s="45"/>
      <c r="AQ163" s="114"/>
    </row>
    <row r="164" spans="1:43" ht="15.75" customHeight="1">
      <c r="A164" s="44"/>
      <c r="B164" s="45"/>
      <c r="C164" s="45"/>
      <c r="D164" s="45"/>
      <c r="E164" s="45"/>
      <c r="F164" s="45"/>
      <c r="G164" s="45"/>
      <c r="H164" s="45"/>
      <c r="I164" s="45"/>
      <c r="J164" s="45"/>
      <c r="K164" s="45"/>
      <c r="L164" s="45"/>
      <c r="M164" s="45"/>
      <c r="N164" s="45"/>
      <c r="O164" s="45"/>
      <c r="P164" s="45"/>
      <c r="Q164" s="45"/>
      <c r="R164" s="45"/>
      <c r="S164" s="45"/>
      <c r="T164" s="45"/>
      <c r="U164" s="132"/>
      <c r="V164" s="45"/>
      <c r="W164" s="45"/>
      <c r="X164" s="45"/>
      <c r="Y164" s="45"/>
      <c r="Z164" s="45"/>
      <c r="AA164" s="45"/>
      <c r="AB164" s="45"/>
      <c r="AC164" s="45"/>
      <c r="AD164" s="45"/>
      <c r="AE164" s="45"/>
      <c r="AF164" s="45"/>
      <c r="AG164" s="132"/>
      <c r="AH164" s="132"/>
      <c r="AI164" s="45"/>
      <c r="AJ164" s="45"/>
      <c r="AK164" s="45"/>
      <c r="AL164" s="45"/>
      <c r="AM164" s="45"/>
      <c r="AN164" s="45"/>
      <c r="AO164" s="45"/>
      <c r="AP164" s="45"/>
      <c r="AQ164" s="114"/>
    </row>
    <row r="165" spans="1:43" ht="15.75" customHeight="1">
      <c r="A165" s="44"/>
      <c r="B165" s="45"/>
      <c r="C165" s="45"/>
      <c r="D165" s="45"/>
      <c r="E165" s="45"/>
      <c r="F165" s="45"/>
      <c r="G165" s="45"/>
      <c r="H165" s="45"/>
      <c r="I165" s="45"/>
      <c r="J165" s="45"/>
      <c r="K165" s="45"/>
      <c r="L165" s="45"/>
      <c r="M165" s="45"/>
      <c r="N165" s="45"/>
      <c r="O165" s="45"/>
      <c r="P165" s="45"/>
      <c r="Q165" s="45"/>
      <c r="R165" s="45"/>
      <c r="S165" s="45"/>
      <c r="T165" s="45"/>
      <c r="U165" s="132"/>
      <c r="V165" s="45"/>
      <c r="W165" s="45"/>
      <c r="X165" s="45"/>
      <c r="Y165" s="45"/>
      <c r="Z165" s="45"/>
      <c r="AA165" s="45"/>
      <c r="AB165" s="45"/>
      <c r="AC165" s="45"/>
      <c r="AD165" s="45"/>
      <c r="AE165" s="45"/>
      <c r="AF165" s="45"/>
      <c r="AG165" s="132"/>
      <c r="AH165" s="132"/>
      <c r="AI165" s="45"/>
      <c r="AJ165" s="45"/>
      <c r="AK165" s="45"/>
      <c r="AL165" s="45"/>
      <c r="AM165" s="45"/>
      <c r="AN165" s="45"/>
      <c r="AO165" s="45"/>
      <c r="AP165" s="45"/>
      <c r="AQ165" s="114"/>
    </row>
    <row r="166" spans="1:43" ht="15.75" customHeight="1">
      <c r="A166" s="44"/>
      <c r="B166" s="45"/>
      <c r="C166" s="45"/>
      <c r="D166" s="45"/>
      <c r="E166" s="45"/>
      <c r="F166" s="45"/>
      <c r="G166" s="45"/>
      <c r="H166" s="45"/>
      <c r="I166" s="45"/>
      <c r="J166" s="45"/>
      <c r="K166" s="45"/>
      <c r="L166" s="45"/>
      <c r="M166" s="45"/>
      <c r="N166" s="45"/>
      <c r="O166" s="45"/>
      <c r="P166" s="45"/>
      <c r="Q166" s="45"/>
      <c r="R166" s="45"/>
      <c r="S166" s="45"/>
      <c r="T166" s="45"/>
      <c r="U166" s="132"/>
      <c r="V166" s="45"/>
      <c r="W166" s="45"/>
      <c r="X166" s="45"/>
      <c r="Y166" s="45"/>
      <c r="Z166" s="45"/>
      <c r="AA166" s="45"/>
      <c r="AB166" s="45"/>
      <c r="AC166" s="45"/>
      <c r="AD166" s="45"/>
      <c r="AE166" s="45"/>
      <c r="AF166" s="45"/>
      <c r="AG166" s="132"/>
      <c r="AH166" s="132"/>
      <c r="AI166" s="45"/>
      <c r="AJ166" s="45"/>
      <c r="AK166" s="45"/>
      <c r="AL166" s="45"/>
      <c r="AM166" s="45"/>
      <c r="AN166" s="45"/>
      <c r="AO166" s="45"/>
      <c r="AP166" s="45"/>
      <c r="AQ166" s="114"/>
    </row>
    <row r="167" spans="1:43" ht="15.75" customHeight="1">
      <c r="A167" s="44"/>
      <c r="B167" s="45"/>
      <c r="C167" s="45"/>
      <c r="D167" s="45"/>
      <c r="E167" s="45"/>
      <c r="F167" s="45"/>
      <c r="G167" s="45"/>
      <c r="H167" s="45"/>
      <c r="I167" s="45"/>
      <c r="J167" s="45"/>
      <c r="K167" s="45"/>
      <c r="L167" s="45"/>
      <c r="M167" s="45"/>
      <c r="N167" s="45"/>
      <c r="O167" s="45"/>
      <c r="P167" s="45"/>
      <c r="Q167" s="45"/>
      <c r="R167" s="45"/>
      <c r="S167" s="45"/>
      <c r="T167" s="45"/>
      <c r="U167" s="132"/>
      <c r="V167" s="45"/>
      <c r="W167" s="45"/>
      <c r="X167" s="45"/>
      <c r="Y167" s="45"/>
      <c r="Z167" s="45"/>
      <c r="AA167" s="45"/>
      <c r="AB167" s="45"/>
      <c r="AC167" s="45"/>
      <c r="AD167" s="45"/>
      <c r="AE167" s="45"/>
      <c r="AF167" s="45"/>
      <c r="AG167" s="132"/>
      <c r="AH167" s="132"/>
      <c r="AI167" s="45"/>
      <c r="AJ167" s="45"/>
      <c r="AK167" s="45"/>
      <c r="AL167" s="45"/>
      <c r="AM167" s="45"/>
      <c r="AN167" s="45"/>
      <c r="AO167" s="45"/>
      <c r="AP167" s="45"/>
      <c r="AQ167" s="114"/>
    </row>
    <row r="168" spans="1:43" ht="15.75" customHeight="1">
      <c r="A168" s="44"/>
      <c r="B168" s="45"/>
      <c r="C168" s="45"/>
      <c r="D168" s="45"/>
      <c r="E168" s="45"/>
      <c r="F168" s="45"/>
      <c r="G168" s="45"/>
      <c r="H168" s="45"/>
      <c r="I168" s="45"/>
      <c r="J168" s="45"/>
      <c r="K168" s="45"/>
      <c r="L168" s="45"/>
      <c r="M168" s="45"/>
      <c r="N168" s="45"/>
      <c r="O168" s="45"/>
      <c r="P168" s="45"/>
      <c r="Q168" s="45"/>
      <c r="R168" s="45"/>
      <c r="S168" s="45"/>
      <c r="T168" s="45"/>
      <c r="U168" s="132"/>
      <c r="V168" s="45"/>
      <c r="W168" s="45"/>
      <c r="X168" s="45"/>
      <c r="Y168" s="45"/>
      <c r="Z168" s="45"/>
      <c r="AA168" s="45"/>
      <c r="AB168" s="45"/>
      <c r="AC168" s="45"/>
      <c r="AD168" s="45"/>
      <c r="AE168" s="45"/>
      <c r="AF168" s="45"/>
      <c r="AG168" s="132"/>
      <c r="AH168" s="132"/>
      <c r="AI168" s="45"/>
      <c r="AJ168" s="45"/>
      <c r="AK168" s="45"/>
      <c r="AL168" s="45"/>
      <c r="AM168" s="45"/>
      <c r="AN168" s="45"/>
      <c r="AO168" s="45"/>
      <c r="AP168" s="45"/>
      <c r="AQ168" s="114"/>
    </row>
    <row r="169" spans="1:43" ht="15.75" customHeight="1">
      <c r="A169" s="44"/>
      <c r="B169" s="45"/>
      <c r="C169" s="45"/>
      <c r="D169" s="45"/>
      <c r="E169" s="45"/>
      <c r="F169" s="45"/>
      <c r="G169" s="45"/>
      <c r="H169" s="45"/>
      <c r="I169" s="45"/>
      <c r="J169" s="45"/>
      <c r="K169" s="45"/>
      <c r="L169" s="45"/>
      <c r="M169" s="45"/>
      <c r="N169" s="45"/>
      <c r="O169" s="45"/>
      <c r="P169" s="45"/>
      <c r="Q169" s="45"/>
      <c r="R169" s="45"/>
      <c r="S169" s="45"/>
      <c r="T169" s="45"/>
      <c r="U169" s="132"/>
      <c r="V169" s="45"/>
      <c r="W169" s="45"/>
      <c r="X169" s="45"/>
      <c r="Y169" s="45"/>
      <c r="Z169" s="45"/>
      <c r="AA169" s="45"/>
      <c r="AB169" s="45"/>
      <c r="AC169" s="45"/>
      <c r="AD169" s="45"/>
      <c r="AE169" s="45"/>
      <c r="AF169" s="45"/>
      <c r="AG169" s="132"/>
      <c r="AH169" s="132"/>
      <c r="AI169" s="45"/>
      <c r="AJ169" s="45"/>
      <c r="AK169" s="45"/>
      <c r="AL169" s="45"/>
      <c r="AM169" s="45"/>
      <c r="AN169" s="45"/>
      <c r="AO169" s="45"/>
      <c r="AP169" s="45"/>
      <c r="AQ169" s="114"/>
    </row>
    <row r="170" spans="1:43" ht="15.75" customHeight="1">
      <c r="A170" s="44"/>
      <c r="B170" s="45"/>
      <c r="C170" s="45"/>
      <c r="D170" s="45"/>
      <c r="E170" s="45"/>
      <c r="F170" s="45"/>
      <c r="G170" s="45"/>
      <c r="H170" s="45"/>
      <c r="I170" s="45"/>
      <c r="J170" s="45"/>
      <c r="K170" s="45"/>
      <c r="L170" s="45"/>
      <c r="M170" s="45"/>
      <c r="N170" s="45"/>
      <c r="O170" s="45"/>
      <c r="P170" s="45"/>
      <c r="Q170" s="45"/>
      <c r="R170" s="45"/>
      <c r="S170" s="45"/>
      <c r="T170" s="45"/>
      <c r="U170" s="132"/>
      <c r="V170" s="45"/>
      <c r="W170" s="45"/>
      <c r="X170" s="45"/>
      <c r="Y170" s="45"/>
      <c r="Z170" s="45"/>
      <c r="AA170" s="45"/>
      <c r="AB170" s="45"/>
      <c r="AC170" s="45"/>
      <c r="AD170" s="45"/>
      <c r="AE170" s="45"/>
      <c r="AF170" s="45"/>
      <c r="AG170" s="132"/>
      <c r="AH170" s="132"/>
      <c r="AI170" s="45"/>
      <c r="AJ170" s="45"/>
      <c r="AK170" s="45"/>
      <c r="AL170" s="45"/>
      <c r="AM170" s="45"/>
      <c r="AN170" s="45"/>
      <c r="AO170" s="45"/>
      <c r="AP170" s="45"/>
      <c r="AQ170" s="114"/>
    </row>
    <row r="171" spans="1:43" ht="15.75" customHeight="1">
      <c r="A171" s="44"/>
      <c r="B171" s="45"/>
      <c r="C171" s="45"/>
      <c r="D171" s="45"/>
      <c r="E171" s="45"/>
      <c r="F171" s="45"/>
      <c r="G171" s="45"/>
      <c r="H171" s="45"/>
      <c r="I171" s="45"/>
      <c r="J171" s="45"/>
      <c r="K171" s="45"/>
      <c r="L171" s="45"/>
      <c r="M171" s="45"/>
      <c r="N171" s="45"/>
      <c r="O171" s="45"/>
      <c r="P171" s="45"/>
      <c r="Q171" s="45"/>
      <c r="R171" s="45"/>
      <c r="S171" s="45"/>
      <c r="T171" s="45"/>
      <c r="U171" s="132"/>
      <c r="V171" s="45"/>
      <c r="W171" s="45"/>
      <c r="X171" s="45"/>
      <c r="Y171" s="45"/>
      <c r="Z171" s="45"/>
      <c r="AA171" s="45"/>
      <c r="AB171" s="45"/>
      <c r="AC171" s="45"/>
      <c r="AD171" s="45"/>
      <c r="AE171" s="45"/>
      <c r="AF171" s="45"/>
      <c r="AG171" s="132"/>
      <c r="AH171" s="132"/>
      <c r="AI171" s="45"/>
      <c r="AJ171" s="45"/>
      <c r="AK171" s="45"/>
      <c r="AL171" s="45"/>
      <c r="AM171" s="45"/>
      <c r="AN171" s="45"/>
      <c r="AO171" s="45"/>
      <c r="AP171" s="45"/>
      <c r="AQ171" s="114"/>
    </row>
    <row r="172" spans="1:43" ht="15.75" customHeight="1">
      <c r="A172" s="44"/>
      <c r="B172" s="45"/>
      <c r="C172" s="45"/>
      <c r="D172" s="45"/>
      <c r="E172" s="45"/>
      <c r="F172" s="45"/>
      <c r="G172" s="45"/>
      <c r="H172" s="45"/>
      <c r="I172" s="45"/>
      <c r="J172" s="45"/>
      <c r="K172" s="45"/>
      <c r="L172" s="45"/>
      <c r="M172" s="45"/>
      <c r="N172" s="45"/>
      <c r="O172" s="45"/>
      <c r="P172" s="45"/>
      <c r="Q172" s="45"/>
      <c r="R172" s="45"/>
      <c r="S172" s="45"/>
      <c r="T172" s="45"/>
      <c r="U172" s="132"/>
      <c r="V172" s="45"/>
      <c r="W172" s="45"/>
      <c r="X172" s="45"/>
      <c r="Y172" s="45"/>
      <c r="Z172" s="45"/>
      <c r="AA172" s="45"/>
      <c r="AB172" s="45"/>
      <c r="AC172" s="45"/>
      <c r="AD172" s="45"/>
      <c r="AE172" s="45"/>
      <c r="AF172" s="45"/>
      <c r="AG172" s="132"/>
      <c r="AH172" s="132"/>
      <c r="AI172" s="45"/>
      <c r="AJ172" s="45"/>
      <c r="AK172" s="45"/>
      <c r="AL172" s="45"/>
      <c r="AM172" s="45"/>
      <c r="AN172" s="45"/>
      <c r="AO172" s="45"/>
      <c r="AP172" s="45"/>
      <c r="AQ172" s="114"/>
    </row>
    <row r="173" spans="1:43" ht="15.75" customHeight="1">
      <c r="A173" s="44"/>
      <c r="B173" s="45"/>
      <c r="C173" s="45"/>
      <c r="D173" s="45"/>
      <c r="E173" s="45"/>
      <c r="F173" s="45"/>
      <c r="G173" s="45"/>
      <c r="H173" s="45"/>
      <c r="I173" s="45"/>
      <c r="J173" s="45"/>
      <c r="K173" s="45"/>
      <c r="L173" s="45"/>
      <c r="M173" s="45"/>
      <c r="N173" s="45"/>
      <c r="O173" s="45"/>
      <c r="P173" s="45"/>
      <c r="Q173" s="45"/>
      <c r="R173" s="45"/>
      <c r="S173" s="45"/>
      <c r="T173" s="45"/>
      <c r="U173" s="132"/>
      <c r="V173" s="45"/>
      <c r="W173" s="45"/>
      <c r="X173" s="45"/>
      <c r="Y173" s="45"/>
      <c r="Z173" s="45"/>
      <c r="AA173" s="45"/>
      <c r="AB173" s="45"/>
      <c r="AC173" s="45"/>
      <c r="AD173" s="45"/>
      <c r="AE173" s="45"/>
      <c r="AF173" s="45"/>
      <c r="AG173" s="132"/>
      <c r="AH173" s="132"/>
      <c r="AI173" s="45"/>
      <c r="AJ173" s="45"/>
      <c r="AK173" s="45"/>
      <c r="AL173" s="45"/>
      <c r="AM173" s="45"/>
      <c r="AN173" s="45"/>
      <c r="AO173" s="45"/>
      <c r="AP173" s="45"/>
      <c r="AQ173" s="114"/>
    </row>
    <row r="174" spans="1:43" ht="15.75" customHeight="1">
      <c r="A174" s="44"/>
      <c r="B174" s="45"/>
      <c r="C174" s="45"/>
      <c r="D174" s="45"/>
      <c r="E174" s="45"/>
      <c r="F174" s="45"/>
      <c r="G174" s="45"/>
      <c r="H174" s="45"/>
      <c r="I174" s="45"/>
      <c r="J174" s="45"/>
      <c r="K174" s="45"/>
      <c r="L174" s="45"/>
      <c r="M174" s="45"/>
      <c r="N174" s="45"/>
      <c r="O174" s="45"/>
      <c r="P174" s="45"/>
      <c r="Q174" s="45"/>
      <c r="R174" s="45"/>
      <c r="S174" s="45"/>
      <c r="T174" s="45"/>
      <c r="U174" s="132"/>
      <c r="V174" s="45"/>
      <c r="W174" s="45"/>
      <c r="X174" s="45"/>
      <c r="Y174" s="45"/>
      <c r="Z174" s="45"/>
      <c r="AA174" s="45"/>
      <c r="AB174" s="45"/>
      <c r="AC174" s="45"/>
      <c r="AD174" s="45"/>
      <c r="AE174" s="45"/>
      <c r="AF174" s="45"/>
      <c r="AG174" s="132"/>
      <c r="AH174" s="132"/>
      <c r="AI174" s="45"/>
      <c r="AJ174" s="45"/>
      <c r="AK174" s="45"/>
      <c r="AL174" s="45"/>
      <c r="AM174" s="45"/>
      <c r="AN174" s="45"/>
      <c r="AO174" s="45"/>
      <c r="AP174" s="45"/>
      <c r="AQ174" s="114"/>
    </row>
    <row r="175" spans="1:43" ht="15.75" customHeight="1">
      <c r="A175" s="44"/>
      <c r="B175" s="45"/>
      <c r="C175" s="45"/>
      <c r="D175" s="45"/>
      <c r="E175" s="45"/>
      <c r="F175" s="45"/>
      <c r="G175" s="45"/>
      <c r="H175" s="45"/>
      <c r="I175" s="45"/>
      <c r="J175" s="45"/>
      <c r="K175" s="45"/>
      <c r="L175" s="45"/>
      <c r="M175" s="45"/>
      <c r="N175" s="45"/>
      <c r="O175" s="45"/>
      <c r="P175" s="45"/>
      <c r="Q175" s="45"/>
      <c r="R175" s="45"/>
      <c r="S175" s="45"/>
      <c r="T175" s="45"/>
      <c r="U175" s="132"/>
      <c r="V175" s="45"/>
      <c r="W175" s="45"/>
      <c r="X175" s="45"/>
      <c r="Y175" s="45"/>
      <c r="Z175" s="45"/>
      <c r="AA175" s="45"/>
      <c r="AB175" s="45"/>
      <c r="AC175" s="45"/>
      <c r="AD175" s="45"/>
      <c r="AE175" s="45"/>
      <c r="AF175" s="45"/>
      <c r="AG175" s="132"/>
      <c r="AH175" s="132"/>
      <c r="AI175" s="45"/>
      <c r="AJ175" s="45"/>
      <c r="AK175" s="45"/>
      <c r="AL175" s="45"/>
      <c r="AM175" s="45"/>
      <c r="AN175" s="45"/>
      <c r="AO175" s="45"/>
      <c r="AP175" s="45"/>
      <c r="AQ175" s="114"/>
    </row>
    <row r="176" spans="1:43" ht="15.75" customHeight="1">
      <c r="A176" s="44"/>
      <c r="B176" s="45"/>
      <c r="C176" s="45"/>
      <c r="D176" s="45"/>
      <c r="E176" s="45"/>
      <c r="F176" s="45"/>
      <c r="G176" s="45"/>
      <c r="H176" s="45"/>
      <c r="I176" s="45"/>
      <c r="J176" s="45"/>
      <c r="K176" s="45"/>
      <c r="L176" s="45"/>
      <c r="M176" s="45"/>
      <c r="N176" s="45"/>
      <c r="O176" s="45"/>
      <c r="P176" s="45"/>
      <c r="Q176" s="45"/>
      <c r="R176" s="45"/>
      <c r="S176" s="45"/>
      <c r="T176" s="45"/>
      <c r="U176" s="132"/>
      <c r="V176" s="45"/>
      <c r="W176" s="45"/>
      <c r="X176" s="45"/>
      <c r="Y176" s="45"/>
      <c r="Z176" s="45"/>
      <c r="AA176" s="45"/>
      <c r="AB176" s="45"/>
      <c r="AC176" s="45"/>
      <c r="AD176" s="45"/>
      <c r="AE176" s="45"/>
      <c r="AF176" s="45"/>
      <c r="AG176" s="132"/>
      <c r="AH176" s="132"/>
      <c r="AI176" s="45"/>
      <c r="AJ176" s="45"/>
      <c r="AK176" s="45"/>
      <c r="AL176" s="45"/>
      <c r="AM176" s="45"/>
      <c r="AN176" s="45"/>
      <c r="AO176" s="45"/>
      <c r="AP176" s="45"/>
      <c r="AQ176" s="114"/>
    </row>
    <row r="177" spans="1:43" ht="15.75" customHeight="1">
      <c r="A177" s="44"/>
      <c r="B177" s="45"/>
      <c r="C177" s="45"/>
      <c r="D177" s="45"/>
      <c r="E177" s="45"/>
      <c r="F177" s="45"/>
      <c r="G177" s="45"/>
      <c r="H177" s="45"/>
      <c r="I177" s="45"/>
      <c r="J177" s="45"/>
      <c r="K177" s="45"/>
      <c r="L177" s="45"/>
      <c r="M177" s="45"/>
      <c r="N177" s="45"/>
      <c r="O177" s="45"/>
      <c r="P177" s="45"/>
      <c r="Q177" s="45"/>
      <c r="R177" s="45"/>
      <c r="S177" s="45"/>
      <c r="T177" s="45"/>
      <c r="U177" s="132"/>
      <c r="V177" s="45"/>
      <c r="W177" s="45"/>
      <c r="X177" s="45"/>
      <c r="Y177" s="45"/>
      <c r="Z177" s="45"/>
      <c r="AA177" s="45"/>
      <c r="AB177" s="45"/>
      <c r="AC177" s="45"/>
      <c r="AD177" s="45"/>
      <c r="AE177" s="45"/>
      <c r="AF177" s="45"/>
      <c r="AG177" s="132"/>
      <c r="AH177" s="132"/>
      <c r="AI177" s="45"/>
      <c r="AJ177" s="45"/>
      <c r="AK177" s="45"/>
      <c r="AL177" s="45"/>
      <c r="AM177" s="45"/>
      <c r="AN177" s="45"/>
      <c r="AO177" s="45"/>
      <c r="AP177" s="45"/>
      <c r="AQ177" s="114"/>
    </row>
    <row r="178" spans="1:43" ht="15.75" customHeight="1">
      <c r="A178" s="44"/>
      <c r="B178" s="45"/>
      <c r="C178" s="45"/>
      <c r="D178" s="45"/>
      <c r="E178" s="45"/>
      <c r="F178" s="45"/>
      <c r="G178" s="45"/>
      <c r="H178" s="45"/>
      <c r="I178" s="45"/>
      <c r="J178" s="45"/>
      <c r="K178" s="45"/>
      <c r="L178" s="45"/>
      <c r="M178" s="45"/>
      <c r="N178" s="45"/>
      <c r="O178" s="45"/>
      <c r="P178" s="45"/>
      <c r="Q178" s="45"/>
      <c r="R178" s="45"/>
      <c r="S178" s="45"/>
      <c r="T178" s="45"/>
      <c r="U178" s="132"/>
      <c r="V178" s="45"/>
      <c r="W178" s="45"/>
      <c r="X178" s="45"/>
      <c r="Y178" s="45"/>
      <c r="Z178" s="45"/>
      <c r="AA178" s="45"/>
      <c r="AB178" s="45"/>
      <c r="AC178" s="45"/>
      <c r="AD178" s="45"/>
      <c r="AE178" s="45"/>
      <c r="AF178" s="45"/>
      <c r="AG178" s="132"/>
      <c r="AH178" s="132"/>
      <c r="AI178" s="45"/>
      <c r="AJ178" s="45"/>
      <c r="AK178" s="45"/>
      <c r="AL178" s="45"/>
      <c r="AM178" s="45"/>
      <c r="AN178" s="45"/>
      <c r="AO178" s="45"/>
      <c r="AP178" s="45"/>
      <c r="AQ178" s="114"/>
    </row>
    <row r="179" spans="1:43" ht="15.75" customHeight="1">
      <c r="A179" s="44"/>
      <c r="B179" s="45"/>
      <c r="C179" s="45"/>
      <c r="D179" s="45"/>
      <c r="E179" s="45"/>
      <c r="F179" s="45"/>
      <c r="G179" s="45"/>
      <c r="H179" s="45"/>
      <c r="I179" s="45"/>
      <c r="J179" s="45"/>
      <c r="K179" s="45"/>
      <c r="L179" s="45"/>
      <c r="M179" s="45"/>
      <c r="N179" s="45"/>
      <c r="O179" s="45"/>
      <c r="P179" s="45"/>
      <c r="Q179" s="45"/>
      <c r="R179" s="45"/>
      <c r="S179" s="45"/>
      <c r="T179" s="45"/>
      <c r="U179" s="132"/>
      <c r="V179" s="45"/>
      <c r="W179" s="45"/>
      <c r="X179" s="45"/>
      <c r="Y179" s="45"/>
      <c r="Z179" s="45"/>
      <c r="AA179" s="45"/>
      <c r="AB179" s="45"/>
      <c r="AC179" s="45"/>
      <c r="AD179" s="45"/>
      <c r="AE179" s="45"/>
      <c r="AF179" s="45"/>
      <c r="AG179" s="132"/>
      <c r="AH179" s="132"/>
      <c r="AI179" s="45"/>
      <c r="AJ179" s="45"/>
      <c r="AK179" s="45"/>
      <c r="AL179" s="45"/>
      <c r="AM179" s="45"/>
      <c r="AN179" s="45"/>
      <c r="AO179" s="45"/>
      <c r="AP179" s="45"/>
      <c r="AQ179" s="114"/>
    </row>
    <row r="180" spans="1:43" ht="15.75" customHeight="1">
      <c r="A180" s="44"/>
      <c r="B180" s="45"/>
      <c r="C180" s="45"/>
      <c r="D180" s="45"/>
      <c r="E180" s="45"/>
      <c r="F180" s="45"/>
      <c r="G180" s="45"/>
      <c r="H180" s="45"/>
      <c r="I180" s="45"/>
      <c r="J180" s="45"/>
      <c r="K180" s="45"/>
      <c r="L180" s="45"/>
      <c r="M180" s="45"/>
      <c r="N180" s="45"/>
      <c r="O180" s="45"/>
      <c r="P180" s="45"/>
      <c r="Q180" s="45"/>
      <c r="R180" s="45"/>
      <c r="S180" s="45"/>
      <c r="T180" s="45"/>
      <c r="U180" s="132"/>
      <c r="V180" s="45"/>
      <c r="W180" s="45"/>
      <c r="X180" s="45"/>
      <c r="Y180" s="45"/>
      <c r="Z180" s="45"/>
      <c r="AA180" s="45"/>
      <c r="AB180" s="45"/>
      <c r="AC180" s="45"/>
      <c r="AD180" s="45"/>
      <c r="AE180" s="45"/>
      <c r="AF180" s="45"/>
      <c r="AG180" s="132"/>
      <c r="AH180" s="132"/>
      <c r="AI180" s="45"/>
      <c r="AJ180" s="45"/>
      <c r="AK180" s="45"/>
      <c r="AL180" s="45"/>
      <c r="AM180" s="45"/>
      <c r="AN180" s="45"/>
      <c r="AO180" s="45"/>
      <c r="AP180" s="45"/>
      <c r="AQ180" s="114"/>
    </row>
    <row r="181" spans="1:43" ht="15.75" customHeight="1">
      <c r="A181" s="44"/>
      <c r="B181" s="45"/>
      <c r="C181" s="45"/>
      <c r="D181" s="45"/>
      <c r="E181" s="45"/>
      <c r="F181" s="45"/>
      <c r="G181" s="45"/>
      <c r="H181" s="45"/>
      <c r="I181" s="45"/>
      <c r="J181" s="45"/>
      <c r="K181" s="45"/>
      <c r="L181" s="45"/>
      <c r="M181" s="45"/>
      <c r="N181" s="45"/>
      <c r="O181" s="45"/>
      <c r="P181" s="45"/>
      <c r="Q181" s="45"/>
      <c r="R181" s="45"/>
      <c r="S181" s="45"/>
      <c r="T181" s="45"/>
      <c r="U181" s="132"/>
      <c r="V181" s="45"/>
      <c r="W181" s="45"/>
      <c r="X181" s="45"/>
      <c r="Y181" s="45"/>
      <c r="Z181" s="45"/>
      <c r="AA181" s="45"/>
      <c r="AB181" s="45"/>
      <c r="AC181" s="45"/>
      <c r="AD181" s="45"/>
      <c r="AE181" s="45"/>
      <c r="AF181" s="45"/>
      <c r="AG181" s="132"/>
      <c r="AH181" s="132"/>
      <c r="AI181" s="45"/>
      <c r="AJ181" s="45"/>
      <c r="AK181" s="45"/>
      <c r="AL181" s="45"/>
      <c r="AM181" s="45"/>
      <c r="AN181" s="45"/>
      <c r="AO181" s="45"/>
      <c r="AP181" s="45"/>
      <c r="AQ181" s="114"/>
    </row>
    <row r="182" spans="1:43" ht="15.75" customHeight="1">
      <c r="A182" s="44"/>
      <c r="B182" s="45"/>
      <c r="C182" s="45"/>
      <c r="D182" s="45"/>
      <c r="E182" s="45"/>
      <c r="F182" s="45"/>
      <c r="G182" s="45"/>
      <c r="H182" s="45"/>
      <c r="I182" s="45"/>
      <c r="J182" s="45"/>
      <c r="K182" s="45"/>
      <c r="L182" s="45"/>
      <c r="M182" s="45"/>
      <c r="N182" s="45"/>
      <c r="O182" s="45"/>
      <c r="P182" s="45"/>
      <c r="Q182" s="45"/>
      <c r="R182" s="45"/>
      <c r="S182" s="45"/>
      <c r="T182" s="45"/>
      <c r="U182" s="132"/>
      <c r="V182" s="45"/>
      <c r="W182" s="45"/>
      <c r="X182" s="45"/>
      <c r="Y182" s="45"/>
      <c r="Z182" s="45"/>
      <c r="AA182" s="45"/>
      <c r="AB182" s="45"/>
      <c r="AC182" s="45"/>
      <c r="AD182" s="45"/>
      <c r="AE182" s="45"/>
      <c r="AF182" s="45"/>
      <c r="AG182" s="132"/>
      <c r="AH182" s="132"/>
      <c r="AI182" s="45"/>
      <c r="AJ182" s="45"/>
      <c r="AK182" s="45"/>
      <c r="AL182" s="45"/>
      <c r="AM182" s="45"/>
      <c r="AN182" s="45"/>
      <c r="AO182" s="45"/>
      <c r="AP182" s="45"/>
      <c r="AQ182" s="114"/>
    </row>
    <row r="183" spans="1:43" ht="15.75" customHeight="1">
      <c r="A183" s="44"/>
      <c r="B183" s="45"/>
      <c r="C183" s="45"/>
      <c r="D183" s="45"/>
      <c r="E183" s="45"/>
      <c r="F183" s="45"/>
      <c r="G183" s="45"/>
      <c r="H183" s="45"/>
      <c r="I183" s="45"/>
      <c r="J183" s="45"/>
      <c r="K183" s="45"/>
      <c r="L183" s="45"/>
      <c r="M183" s="45"/>
      <c r="N183" s="45"/>
      <c r="O183" s="45"/>
      <c r="P183" s="45"/>
      <c r="Q183" s="45"/>
      <c r="R183" s="45"/>
      <c r="S183" s="45"/>
      <c r="T183" s="45"/>
      <c r="U183" s="132"/>
      <c r="V183" s="45"/>
      <c r="W183" s="45"/>
      <c r="X183" s="45"/>
      <c r="Y183" s="45"/>
      <c r="Z183" s="45"/>
      <c r="AA183" s="45"/>
      <c r="AB183" s="45"/>
      <c r="AC183" s="45"/>
      <c r="AD183" s="45"/>
      <c r="AE183" s="45"/>
      <c r="AF183" s="45"/>
      <c r="AG183" s="132"/>
      <c r="AH183" s="132"/>
      <c r="AI183" s="45"/>
      <c r="AJ183" s="45"/>
      <c r="AK183" s="45"/>
      <c r="AL183" s="45"/>
      <c r="AM183" s="45"/>
      <c r="AN183" s="45"/>
      <c r="AO183" s="45"/>
      <c r="AP183" s="45"/>
      <c r="AQ183" s="114"/>
    </row>
    <row r="184" spans="1:43" ht="15.75" customHeight="1">
      <c r="A184" s="44"/>
      <c r="B184" s="45"/>
      <c r="C184" s="45"/>
      <c r="D184" s="45"/>
      <c r="E184" s="45"/>
      <c r="F184" s="45"/>
      <c r="G184" s="45"/>
      <c r="H184" s="45"/>
      <c r="I184" s="45"/>
      <c r="J184" s="45"/>
      <c r="K184" s="45"/>
      <c r="L184" s="45"/>
      <c r="M184" s="45"/>
      <c r="N184" s="45"/>
      <c r="O184" s="45"/>
      <c r="P184" s="45"/>
      <c r="Q184" s="45"/>
      <c r="R184" s="45"/>
      <c r="S184" s="45"/>
      <c r="T184" s="45"/>
      <c r="U184" s="132"/>
      <c r="V184" s="45"/>
      <c r="W184" s="45"/>
      <c r="X184" s="45"/>
      <c r="Y184" s="45"/>
      <c r="Z184" s="45"/>
      <c r="AA184" s="45"/>
      <c r="AB184" s="45"/>
      <c r="AC184" s="45"/>
      <c r="AD184" s="45"/>
      <c r="AE184" s="45"/>
      <c r="AF184" s="45"/>
      <c r="AG184" s="132"/>
      <c r="AH184" s="132"/>
      <c r="AI184" s="45"/>
      <c r="AJ184" s="45"/>
      <c r="AK184" s="45"/>
      <c r="AL184" s="45"/>
      <c r="AM184" s="45"/>
      <c r="AN184" s="45"/>
      <c r="AO184" s="45"/>
      <c r="AP184" s="45"/>
      <c r="AQ184" s="114"/>
    </row>
    <row r="185" spans="1:43" ht="15.75" customHeight="1">
      <c r="A185" s="44"/>
      <c r="B185" s="45"/>
      <c r="C185" s="45"/>
      <c r="D185" s="45"/>
      <c r="E185" s="45"/>
      <c r="F185" s="45"/>
      <c r="G185" s="45"/>
      <c r="H185" s="45"/>
      <c r="I185" s="45"/>
      <c r="J185" s="45"/>
      <c r="K185" s="45"/>
      <c r="L185" s="45"/>
      <c r="M185" s="45"/>
      <c r="N185" s="45"/>
      <c r="O185" s="45"/>
      <c r="P185" s="45"/>
      <c r="Q185" s="45"/>
      <c r="R185" s="45"/>
      <c r="S185" s="45"/>
      <c r="T185" s="45"/>
      <c r="U185" s="132"/>
      <c r="V185" s="45"/>
      <c r="W185" s="45"/>
      <c r="X185" s="45"/>
      <c r="Y185" s="45"/>
      <c r="Z185" s="45"/>
      <c r="AA185" s="45"/>
      <c r="AB185" s="45"/>
      <c r="AC185" s="45"/>
      <c r="AD185" s="45"/>
      <c r="AE185" s="45"/>
      <c r="AF185" s="45"/>
      <c r="AG185" s="132"/>
      <c r="AH185" s="132"/>
      <c r="AI185" s="45"/>
      <c r="AJ185" s="45"/>
      <c r="AK185" s="45"/>
      <c r="AL185" s="45"/>
      <c r="AM185" s="45"/>
      <c r="AN185" s="45"/>
      <c r="AO185" s="45"/>
      <c r="AP185" s="45"/>
      <c r="AQ185" s="114"/>
    </row>
    <row r="186" spans="1:43" ht="15.75" customHeight="1">
      <c r="A186" s="44"/>
      <c r="B186" s="45"/>
      <c r="C186" s="45"/>
      <c r="D186" s="45"/>
      <c r="E186" s="45"/>
      <c r="F186" s="45"/>
      <c r="G186" s="45"/>
      <c r="H186" s="45"/>
      <c r="I186" s="45"/>
      <c r="J186" s="45"/>
      <c r="K186" s="45"/>
      <c r="L186" s="45"/>
      <c r="M186" s="45"/>
      <c r="N186" s="45"/>
      <c r="O186" s="45"/>
      <c r="P186" s="45"/>
      <c r="Q186" s="45"/>
      <c r="R186" s="45"/>
      <c r="S186" s="45"/>
      <c r="T186" s="45"/>
      <c r="U186" s="132"/>
      <c r="V186" s="45"/>
      <c r="W186" s="45"/>
      <c r="X186" s="45"/>
      <c r="Y186" s="45"/>
      <c r="Z186" s="45"/>
      <c r="AA186" s="45"/>
      <c r="AB186" s="45"/>
      <c r="AC186" s="45"/>
      <c r="AD186" s="45"/>
      <c r="AE186" s="45"/>
      <c r="AF186" s="45"/>
      <c r="AG186" s="132"/>
      <c r="AH186" s="132"/>
      <c r="AI186" s="45"/>
      <c r="AJ186" s="45"/>
      <c r="AK186" s="45"/>
      <c r="AL186" s="45"/>
      <c r="AM186" s="45"/>
      <c r="AN186" s="45"/>
      <c r="AO186" s="45"/>
      <c r="AP186" s="45"/>
      <c r="AQ186" s="114"/>
    </row>
    <row r="187" spans="1:43" ht="15.75" customHeight="1">
      <c r="A187" s="44"/>
      <c r="B187" s="45"/>
      <c r="C187" s="45"/>
      <c r="D187" s="45"/>
      <c r="E187" s="45"/>
      <c r="F187" s="45"/>
      <c r="G187" s="45"/>
      <c r="H187" s="45"/>
      <c r="I187" s="45"/>
      <c r="J187" s="45"/>
      <c r="K187" s="45"/>
      <c r="L187" s="45"/>
      <c r="M187" s="45"/>
      <c r="N187" s="45"/>
      <c r="O187" s="45"/>
      <c r="P187" s="45"/>
      <c r="Q187" s="45"/>
      <c r="R187" s="45"/>
      <c r="S187" s="45"/>
      <c r="T187" s="45"/>
      <c r="U187" s="132"/>
      <c r="V187" s="45"/>
      <c r="W187" s="45"/>
      <c r="X187" s="45"/>
      <c r="Y187" s="45"/>
      <c r="Z187" s="45"/>
      <c r="AA187" s="45"/>
      <c r="AB187" s="45"/>
      <c r="AC187" s="45"/>
      <c r="AD187" s="45"/>
      <c r="AE187" s="45"/>
      <c r="AF187" s="45"/>
      <c r="AG187" s="132"/>
      <c r="AH187" s="132"/>
      <c r="AI187" s="45"/>
      <c r="AJ187" s="45"/>
      <c r="AK187" s="45"/>
      <c r="AL187" s="45"/>
      <c r="AM187" s="45"/>
      <c r="AN187" s="45"/>
      <c r="AO187" s="45"/>
      <c r="AP187" s="45"/>
      <c r="AQ187" s="114"/>
    </row>
    <row r="188" spans="1:43" ht="15.75" customHeight="1">
      <c r="A188" s="44"/>
      <c r="B188" s="45"/>
      <c r="C188" s="45"/>
      <c r="D188" s="45"/>
      <c r="E188" s="45"/>
      <c r="F188" s="45"/>
      <c r="G188" s="45"/>
      <c r="H188" s="45"/>
      <c r="I188" s="45"/>
      <c r="J188" s="45"/>
      <c r="K188" s="45"/>
      <c r="L188" s="45"/>
      <c r="M188" s="45"/>
      <c r="N188" s="45"/>
      <c r="O188" s="45"/>
      <c r="P188" s="45"/>
      <c r="Q188" s="45"/>
      <c r="R188" s="45"/>
      <c r="S188" s="45"/>
      <c r="T188" s="45"/>
      <c r="U188" s="132"/>
      <c r="V188" s="45"/>
      <c r="W188" s="45"/>
      <c r="X188" s="45"/>
      <c r="Y188" s="45"/>
      <c r="Z188" s="45"/>
      <c r="AA188" s="45"/>
      <c r="AB188" s="45"/>
      <c r="AC188" s="45"/>
      <c r="AD188" s="45"/>
      <c r="AE188" s="45"/>
      <c r="AF188" s="45"/>
      <c r="AG188" s="132"/>
      <c r="AH188" s="132"/>
      <c r="AI188" s="45"/>
      <c r="AJ188" s="45"/>
      <c r="AK188" s="45"/>
      <c r="AL188" s="45"/>
      <c r="AM188" s="45"/>
      <c r="AN188" s="45"/>
      <c r="AO188" s="45"/>
      <c r="AP188" s="45"/>
      <c r="AQ188" s="114"/>
    </row>
    <row r="189" spans="1:43" ht="15.75" customHeight="1">
      <c r="A189" s="44"/>
      <c r="B189" s="45"/>
      <c r="C189" s="45"/>
      <c r="D189" s="45"/>
      <c r="E189" s="45"/>
      <c r="F189" s="45"/>
      <c r="G189" s="45"/>
      <c r="H189" s="45"/>
      <c r="I189" s="45"/>
      <c r="J189" s="45"/>
      <c r="K189" s="45"/>
      <c r="L189" s="45"/>
      <c r="M189" s="45"/>
      <c r="N189" s="45"/>
      <c r="O189" s="45"/>
      <c r="P189" s="45"/>
      <c r="Q189" s="45"/>
      <c r="R189" s="45"/>
      <c r="S189" s="45"/>
      <c r="T189" s="45"/>
      <c r="U189" s="132"/>
      <c r="V189" s="45"/>
      <c r="W189" s="45"/>
      <c r="X189" s="45"/>
      <c r="Y189" s="45"/>
      <c r="Z189" s="45"/>
      <c r="AA189" s="45"/>
      <c r="AB189" s="45"/>
      <c r="AC189" s="45"/>
      <c r="AD189" s="45"/>
      <c r="AE189" s="45"/>
      <c r="AF189" s="45"/>
      <c r="AG189" s="132"/>
      <c r="AH189" s="132"/>
      <c r="AI189" s="45"/>
      <c r="AJ189" s="45"/>
      <c r="AK189" s="45"/>
      <c r="AL189" s="45"/>
      <c r="AM189" s="45"/>
      <c r="AN189" s="45"/>
      <c r="AO189" s="45"/>
      <c r="AP189" s="45"/>
      <c r="AQ189" s="114"/>
    </row>
    <row r="190" spans="1:43" ht="15.75" customHeight="1">
      <c r="A190" s="44"/>
      <c r="B190" s="45"/>
      <c r="C190" s="45"/>
      <c r="D190" s="45"/>
      <c r="E190" s="45"/>
      <c r="F190" s="45"/>
      <c r="G190" s="45"/>
      <c r="H190" s="45"/>
      <c r="I190" s="45"/>
      <c r="J190" s="45"/>
      <c r="K190" s="45"/>
      <c r="L190" s="45"/>
      <c r="M190" s="45"/>
      <c r="N190" s="45"/>
      <c r="O190" s="45"/>
      <c r="P190" s="45"/>
      <c r="Q190" s="45"/>
      <c r="R190" s="45"/>
      <c r="S190" s="45"/>
      <c r="T190" s="45"/>
      <c r="U190" s="132"/>
      <c r="V190" s="45"/>
      <c r="W190" s="45"/>
      <c r="X190" s="45"/>
      <c r="Y190" s="45"/>
      <c r="Z190" s="45"/>
      <c r="AA190" s="45"/>
      <c r="AB190" s="45"/>
      <c r="AC190" s="45"/>
      <c r="AD190" s="45"/>
      <c r="AE190" s="45"/>
      <c r="AF190" s="45"/>
      <c r="AG190" s="132"/>
      <c r="AH190" s="132"/>
      <c r="AI190" s="45"/>
      <c r="AJ190" s="45"/>
      <c r="AK190" s="45"/>
      <c r="AL190" s="45"/>
      <c r="AM190" s="45"/>
      <c r="AN190" s="45"/>
      <c r="AO190" s="45"/>
      <c r="AP190" s="45"/>
      <c r="AQ190" s="114"/>
    </row>
    <row r="191" spans="1:43" ht="15.75" customHeight="1">
      <c r="A191" s="44"/>
      <c r="B191" s="45"/>
      <c r="C191" s="45"/>
      <c r="D191" s="45"/>
      <c r="E191" s="45"/>
      <c r="F191" s="45"/>
      <c r="G191" s="45"/>
      <c r="H191" s="45"/>
      <c r="I191" s="45"/>
      <c r="J191" s="45"/>
      <c r="K191" s="45"/>
      <c r="L191" s="45"/>
      <c r="M191" s="45"/>
      <c r="N191" s="45"/>
      <c r="O191" s="45"/>
      <c r="P191" s="45"/>
      <c r="Q191" s="45"/>
      <c r="R191" s="45"/>
      <c r="S191" s="45"/>
      <c r="T191" s="45"/>
      <c r="U191" s="132"/>
      <c r="V191" s="45"/>
      <c r="W191" s="45"/>
      <c r="X191" s="45"/>
      <c r="Y191" s="45"/>
      <c r="Z191" s="45"/>
      <c r="AA191" s="45"/>
      <c r="AB191" s="45"/>
      <c r="AC191" s="45"/>
      <c r="AD191" s="45"/>
      <c r="AE191" s="45"/>
      <c r="AF191" s="45"/>
      <c r="AG191" s="132"/>
      <c r="AH191" s="132"/>
      <c r="AI191" s="45"/>
      <c r="AJ191" s="45"/>
      <c r="AK191" s="45"/>
      <c r="AL191" s="45"/>
      <c r="AM191" s="45"/>
      <c r="AN191" s="45"/>
      <c r="AO191" s="45"/>
      <c r="AP191" s="45"/>
      <c r="AQ191" s="114"/>
    </row>
    <row r="192" spans="1:43" ht="15.75" customHeight="1">
      <c r="A192" s="44"/>
      <c r="B192" s="45"/>
      <c r="C192" s="45"/>
      <c r="D192" s="45"/>
      <c r="E192" s="45"/>
      <c r="F192" s="45"/>
      <c r="G192" s="45"/>
      <c r="H192" s="45"/>
      <c r="I192" s="45"/>
      <c r="J192" s="45"/>
      <c r="K192" s="45"/>
      <c r="L192" s="45"/>
      <c r="M192" s="45"/>
      <c r="N192" s="45"/>
      <c r="O192" s="45"/>
      <c r="P192" s="45"/>
      <c r="Q192" s="45"/>
      <c r="R192" s="45"/>
      <c r="S192" s="45"/>
      <c r="T192" s="45"/>
      <c r="U192" s="132"/>
      <c r="V192" s="45"/>
      <c r="W192" s="45"/>
      <c r="X192" s="45"/>
      <c r="Y192" s="45"/>
      <c r="Z192" s="45"/>
      <c r="AA192" s="45"/>
      <c r="AB192" s="45"/>
      <c r="AC192" s="45"/>
      <c r="AD192" s="45"/>
      <c r="AE192" s="45"/>
      <c r="AF192" s="45"/>
      <c r="AG192" s="132"/>
      <c r="AH192" s="132"/>
      <c r="AI192" s="45"/>
      <c r="AJ192" s="45"/>
      <c r="AK192" s="45"/>
      <c r="AL192" s="45"/>
      <c r="AM192" s="45"/>
      <c r="AN192" s="45"/>
      <c r="AO192" s="45"/>
      <c r="AP192" s="45"/>
      <c r="AQ192" s="114"/>
    </row>
    <row r="193" spans="1:43" ht="15.75" customHeight="1">
      <c r="A193" s="44"/>
      <c r="B193" s="45"/>
      <c r="C193" s="45"/>
      <c r="D193" s="45"/>
      <c r="E193" s="45"/>
      <c r="F193" s="45"/>
      <c r="G193" s="45"/>
      <c r="H193" s="45"/>
      <c r="I193" s="45"/>
      <c r="J193" s="45"/>
      <c r="K193" s="45"/>
      <c r="L193" s="45"/>
      <c r="M193" s="45"/>
      <c r="N193" s="45"/>
      <c r="O193" s="45"/>
      <c r="P193" s="45"/>
      <c r="Q193" s="45"/>
      <c r="R193" s="45"/>
      <c r="S193" s="45"/>
      <c r="T193" s="45"/>
      <c r="U193" s="132"/>
      <c r="V193" s="45"/>
      <c r="W193" s="45"/>
      <c r="X193" s="45"/>
      <c r="Y193" s="45"/>
      <c r="Z193" s="45"/>
      <c r="AA193" s="45"/>
      <c r="AB193" s="45"/>
      <c r="AC193" s="45"/>
      <c r="AD193" s="45"/>
      <c r="AE193" s="45"/>
      <c r="AF193" s="45"/>
      <c r="AG193" s="132"/>
      <c r="AH193" s="132"/>
      <c r="AI193" s="45"/>
      <c r="AJ193" s="45"/>
      <c r="AK193" s="45"/>
      <c r="AL193" s="45"/>
      <c r="AM193" s="45"/>
      <c r="AN193" s="45"/>
      <c r="AO193" s="45"/>
      <c r="AP193" s="45"/>
      <c r="AQ193" s="114"/>
    </row>
    <row r="194" spans="1:43" ht="15.75" customHeight="1">
      <c r="A194" s="44"/>
      <c r="B194" s="45"/>
      <c r="C194" s="45"/>
      <c r="D194" s="45"/>
      <c r="E194" s="45"/>
      <c r="F194" s="45"/>
      <c r="G194" s="45"/>
      <c r="H194" s="45"/>
      <c r="I194" s="45"/>
      <c r="J194" s="45"/>
      <c r="K194" s="45"/>
      <c r="L194" s="45"/>
      <c r="M194" s="45"/>
      <c r="N194" s="45"/>
      <c r="O194" s="45"/>
      <c r="P194" s="45"/>
      <c r="Q194" s="45"/>
      <c r="R194" s="45"/>
      <c r="S194" s="45"/>
      <c r="T194" s="45"/>
      <c r="U194" s="132"/>
      <c r="V194" s="45"/>
      <c r="W194" s="45"/>
      <c r="X194" s="45"/>
      <c r="Y194" s="45"/>
      <c r="Z194" s="45"/>
      <c r="AA194" s="45"/>
      <c r="AB194" s="45"/>
      <c r="AC194" s="45"/>
      <c r="AD194" s="45"/>
      <c r="AE194" s="45"/>
      <c r="AF194" s="45"/>
      <c r="AG194" s="132"/>
      <c r="AH194" s="132"/>
      <c r="AI194" s="45"/>
      <c r="AJ194" s="45"/>
      <c r="AK194" s="45"/>
      <c r="AL194" s="45"/>
      <c r="AM194" s="45"/>
      <c r="AN194" s="45"/>
      <c r="AO194" s="45"/>
      <c r="AP194" s="45"/>
      <c r="AQ194" s="114"/>
    </row>
    <row r="195" spans="1:43" ht="15.75" customHeight="1">
      <c r="A195" s="44"/>
      <c r="B195" s="45"/>
      <c r="C195" s="45"/>
      <c r="D195" s="45"/>
      <c r="E195" s="45"/>
      <c r="F195" s="45"/>
      <c r="G195" s="45"/>
      <c r="H195" s="45"/>
      <c r="I195" s="45"/>
      <c r="J195" s="45"/>
      <c r="K195" s="45"/>
      <c r="L195" s="45"/>
      <c r="M195" s="45"/>
      <c r="N195" s="45"/>
      <c r="O195" s="45"/>
      <c r="P195" s="45"/>
      <c r="Q195" s="45"/>
      <c r="R195" s="45"/>
      <c r="S195" s="45"/>
      <c r="T195" s="45"/>
      <c r="U195" s="132"/>
      <c r="V195" s="45"/>
      <c r="W195" s="45"/>
      <c r="X195" s="45"/>
      <c r="Y195" s="45"/>
      <c r="Z195" s="45"/>
      <c r="AA195" s="45"/>
      <c r="AB195" s="45"/>
      <c r="AC195" s="45"/>
      <c r="AD195" s="45"/>
      <c r="AE195" s="45"/>
      <c r="AF195" s="45"/>
      <c r="AG195" s="132"/>
      <c r="AH195" s="132"/>
      <c r="AI195" s="45"/>
      <c r="AJ195" s="45"/>
      <c r="AK195" s="45"/>
      <c r="AL195" s="45"/>
      <c r="AM195" s="45"/>
      <c r="AN195" s="45"/>
      <c r="AO195" s="45"/>
      <c r="AP195" s="45"/>
      <c r="AQ195" s="114"/>
    </row>
    <row r="196" spans="1:43" ht="15.75" customHeight="1">
      <c r="A196" s="44"/>
      <c r="B196" s="45"/>
      <c r="C196" s="45"/>
      <c r="D196" s="45"/>
      <c r="E196" s="45"/>
      <c r="F196" s="45"/>
      <c r="G196" s="45"/>
      <c r="H196" s="45"/>
      <c r="I196" s="45"/>
      <c r="J196" s="45"/>
      <c r="K196" s="45"/>
      <c r="L196" s="45"/>
      <c r="M196" s="45"/>
      <c r="N196" s="45"/>
      <c r="O196" s="45"/>
      <c r="P196" s="45"/>
      <c r="Q196" s="45"/>
      <c r="R196" s="45"/>
      <c r="S196" s="45"/>
      <c r="T196" s="45"/>
      <c r="U196" s="132"/>
      <c r="V196" s="45"/>
      <c r="W196" s="45"/>
      <c r="X196" s="45"/>
      <c r="Y196" s="45"/>
      <c r="Z196" s="45"/>
      <c r="AA196" s="45"/>
      <c r="AB196" s="45"/>
      <c r="AC196" s="45"/>
      <c r="AD196" s="45"/>
      <c r="AE196" s="45"/>
      <c r="AF196" s="45"/>
      <c r="AG196" s="132"/>
      <c r="AH196" s="132"/>
      <c r="AI196" s="45"/>
      <c r="AJ196" s="45"/>
      <c r="AK196" s="45"/>
      <c r="AL196" s="45"/>
      <c r="AM196" s="45"/>
      <c r="AN196" s="45"/>
      <c r="AO196" s="45"/>
      <c r="AP196" s="45"/>
      <c r="AQ196" s="114"/>
    </row>
    <row r="197" spans="1:43" ht="15.75" customHeight="1">
      <c r="A197" s="44"/>
      <c r="B197" s="45"/>
      <c r="C197" s="45"/>
      <c r="D197" s="45"/>
      <c r="E197" s="45"/>
      <c r="F197" s="45"/>
      <c r="G197" s="45"/>
      <c r="H197" s="45"/>
      <c r="I197" s="45"/>
      <c r="J197" s="45"/>
      <c r="K197" s="45"/>
      <c r="L197" s="45"/>
      <c r="M197" s="45"/>
      <c r="N197" s="45"/>
      <c r="O197" s="45"/>
      <c r="P197" s="45"/>
      <c r="Q197" s="45"/>
      <c r="R197" s="45"/>
      <c r="S197" s="45"/>
      <c r="T197" s="45"/>
      <c r="U197" s="132"/>
      <c r="V197" s="45"/>
      <c r="W197" s="45"/>
      <c r="X197" s="45"/>
      <c r="Y197" s="45"/>
      <c r="Z197" s="45"/>
      <c r="AA197" s="45"/>
      <c r="AB197" s="45"/>
      <c r="AC197" s="45"/>
      <c r="AD197" s="45"/>
      <c r="AE197" s="45"/>
      <c r="AF197" s="45"/>
      <c r="AG197" s="132"/>
      <c r="AH197" s="132"/>
      <c r="AI197" s="45"/>
      <c r="AJ197" s="45"/>
      <c r="AK197" s="45"/>
      <c r="AL197" s="45"/>
      <c r="AM197" s="45"/>
      <c r="AN197" s="45"/>
      <c r="AO197" s="45"/>
      <c r="AP197" s="45"/>
      <c r="AQ197" s="114"/>
    </row>
    <row r="198" spans="1:43" ht="15.75" customHeight="1">
      <c r="A198" s="44"/>
      <c r="B198" s="45"/>
      <c r="C198" s="45"/>
      <c r="D198" s="45"/>
      <c r="E198" s="45"/>
      <c r="F198" s="45"/>
      <c r="G198" s="45"/>
      <c r="H198" s="45"/>
      <c r="I198" s="45"/>
      <c r="J198" s="45"/>
      <c r="K198" s="45"/>
      <c r="L198" s="45"/>
      <c r="M198" s="45"/>
      <c r="N198" s="45"/>
      <c r="O198" s="45"/>
      <c r="P198" s="45"/>
      <c r="Q198" s="45"/>
      <c r="R198" s="45"/>
      <c r="S198" s="45"/>
      <c r="T198" s="45"/>
      <c r="U198" s="132"/>
      <c r="V198" s="45"/>
      <c r="W198" s="45"/>
      <c r="X198" s="45"/>
      <c r="Y198" s="45"/>
      <c r="Z198" s="45"/>
      <c r="AA198" s="45"/>
      <c r="AB198" s="45"/>
      <c r="AC198" s="45"/>
      <c r="AD198" s="45"/>
      <c r="AE198" s="45"/>
      <c r="AF198" s="45"/>
      <c r="AG198" s="132"/>
      <c r="AH198" s="132"/>
      <c r="AI198" s="45"/>
      <c r="AJ198" s="45"/>
      <c r="AK198" s="45"/>
      <c r="AL198" s="45"/>
      <c r="AM198" s="45"/>
      <c r="AN198" s="45"/>
      <c r="AO198" s="45"/>
      <c r="AP198" s="45"/>
      <c r="AQ198" s="114"/>
    </row>
    <row r="199" spans="1:43" ht="15.75" customHeight="1">
      <c r="A199" s="44"/>
      <c r="B199" s="45"/>
      <c r="C199" s="45"/>
      <c r="D199" s="45"/>
      <c r="E199" s="45"/>
      <c r="F199" s="45"/>
      <c r="G199" s="45"/>
      <c r="H199" s="45"/>
      <c r="I199" s="45"/>
      <c r="J199" s="45"/>
      <c r="K199" s="45"/>
      <c r="L199" s="45"/>
      <c r="M199" s="45"/>
      <c r="N199" s="45"/>
      <c r="O199" s="45"/>
      <c r="P199" s="45"/>
      <c r="Q199" s="45"/>
      <c r="R199" s="45"/>
      <c r="S199" s="45"/>
      <c r="T199" s="45"/>
      <c r="U199" s="132"/>
      <c r="V199" s="45"/>
      <c r="W199" s="45"/>
      <c r="X199" s="45"/>
      <c r="Y199" s="45"/>
      <c r="Z199" s="45"/>
      <c r="AA199" s="45"/>
      <c r="AB199" s="45"/>
      <c r="AC199" s="45"/>
      <c r="AD199" s="45"/>
      <c r="AE199" s="45"/>
      <c r="AF199" s="45"/>
      <c r="AG199" s="132"/>
      <c r="AH199" s="132"/>
      <c r="AI199" s="45"/>
      <c r="AJ199" s="45"/>
      <c r="AK199" s="45"/>
      <c r="AL199" s="45"/>
      <c r="AM199" s="45"/>
      <c r="AN199" s="45"/>
      <c r="AO199" s="45"/>
      <c r="AP199" s="45"/>
      <c r="AQ199" s="114"/>
    </row>
    <row r="200" spans="1:43" ht="15.75" customHeight="1">
      <c r="A200" s="44"/>
      <c r="B200" s="45"/>
      <c r="C200" s="45"/>
      <c r="D200" s="45"/>
      <c r="E200" s="45"/>
      <c r="F200" s="45"/>
      <c r="G200" s="45"/>
      <c r="H200" s="45"/>
      <c r="I200" s="45"/>
      <c r="J200" s="45"/>
      <c r="K200" s="45"/>
      <c r="L200" s="45"/>
      <c r="M200" s="45"/>
      <c r="N200" s="45"/>
      <c r="O200" s="45"/>
      <c r="P200" s="45"/>
      <c r="Q200" s="45"/>
      <c r="R200" s="45"/>
      <c r="S200" s="45"/>
      <c r="T200" s="45"/>
      <c r="U200" s="132"/>
      <c r="V200" s="45"/>
      <c r="W200" s="45"/>
      <c r="X200" s="45"/>
      <c r="Y200" s="45"/>
      <c r="Z200" s="45"/>
      <c r="AA200" s="45"/>
      <c r="AB200" s="45"/>
      <c r="AC200" s="45"/>
      <c r="AD200" s="45"/>
      <c r="AE200" s="45"/>
      <c r="AF200" s="45"/>
      <c r="AG200" s="132"/>
      <c r="AH200" s="132"/>
      <c r="AI200" s="45"/>
      <c r="AJ200" s="45"/>
      <c r="AK200" s="45"/>
      <c r="AL200" s="45"/>
      <c r="AM200" s="45"/>
      <c r="AN200" s="45"/>
      <c r="AO200" s="45"/>
      <c r="AP200" s="45"/>
      <c r="AQ200" s="114"/>
    </row>
    <row r="201" spans="1:43" ht="15.75" customHeight="1">
      <c r="A201" s="44"/>
      <c r="B201" s="45"/>
      <c r="C201" s="45"/>
      <c r="D201" s="45"/>
      <c r="E201" s="45"/>
      <c r="F201" s="45"/>
      <c r="G201" s="45"/>
      <c r="H201" s="45"/>
      <c r="I201" s="45"/>
      <c r="J201" s="45"/>
      <c r="K201" s="45"/>
      <c r="L201" s="45"/>
      <c r="M201" s="45"/>
      <c r="N201" s="45"/>
      <c r="O201" s="45"/>
      <c r="P201" s="45"/>
      <c r="Q201" s="45"/>
      <c r="R201" s="45"/>
      <c r="S201" s="45"/>
      <c r="T201" s="45"/>
      <c r="U201" s="132"/>
      <c r="V201" s="45"/>
      <c r="W201" s="45"/>
      <c r="X201" s="45"/>
      <c r="Y201" s="45"/>
      <c r="Z201" s="45"/>
      <c r="AA201" s="45"/>
      <c r="AB201" s="45"/>
      <c r="AC201" s="45"/>
      <c r="AD201" s="45"/>
      <c r="AE201" s="45"/>
      <c r="AF201" s="45"/>
      <c r="AG201" s="132"/>
      <c r="AH201" s="132"/>
      <c r="AI201" s="45"/>
      <c r="AJ201" s="45"/>
      <c r="AK201" s="45"/>
      <c r="AL201" s="45"/>
      <c r="AM201" s="45"/>
      <c r="AN201" s="45"/>
      <c r="AO201" s="45"/>
      <c r="AP201" s="45"/>
      <c r="AQ201" s="114"/>
    </row>
    <row r="202" spans="1:43" ht="15.75" customHeight="1">
      <c r="A202" s="44"/>
      <c r="B202" s="45"/>
      <c r="C202" s="45"/>
      <c r="D202" s="45"/>
      <c r="E202" s="45"/>
      <c r="F202" s="45"/>
      <c r="G202" s="45"/>
      <c r="H202" s="45"/>
      <c r="I202" s="45"/>
      <c r="J202" s="45"/>
      <c r="K202" s="45"/>
      <c r="L202" s="45"/>
      <c r="M202" s="45"/>
      <c r="N202" s="45"/>
      <c r="O202" s="45"/>
      <c r="P202" s="45"/>
      <c r="Q202" s="45"/>
      <c r="R202" s="45"/>
      <c r="S202" s="45"/>
      <c r="T202" s="45"/>
      <c r="U202" s="132"/>
      <c r="V202" s="45"/>
      <c r="W202" s="45"/>
      <c r="X202" s="45"/>
      <c r="Y202" s="45"/>
      <c r="Z202" s="45"/>
      <c r="AA202" s="45"/>
      <c r="AB202" s="45"/>
      <c r="AC202" s="45"/>
      <c r="AD202" s="45"/>
      <c r="AE202" s="45"/>
      <c r="AF202" s="45"/>
      <c r="AG202" s="132"/>
      <c r="AH202" s="132"/>
      <c r="AI202" s="45"/>
      <c r="AJ202" s="45"/>
      <c r="AK202" s="45"/>
      <c r="AL202" s="45"/>
      <c r="AM202" s="45"/>
      <c r="AN202" s="45"/>
      <c r="AO202" s="45"/>
      <c r="AP202" s="45"/>
      <c r="AQ202" s="114"/>
    </row>
    <row r="203" spans="1:43" ht="15.75" customHeight="1">
      <c r="A203" s="44"/>
      <c r="B203" s="45"/>
      <c r="C203" s="45"/>
      <c r="D203" s="45"/>
      <c r="E203" s="45"/>
      <c r="F203" s="45"/>
      <c r="G203" s="45"/>
      <c r="H203" s="45"/>
      <c r="I203" s="45"/>
      <c r="J203" s="45"/>
      <c r="K203" s="45"/>
      <c r="L203" s="45"/>
      <c r="M203" s="45"/>
      <c r="N203" s="45"/>
      <c r="O203" s="45"/>
      <c r="P203" s="45"/>
      <c r="Q203" s="45"/>
      <c r="R203" s="45"/>
      <c r="S203" s="45"/>
      <c r="T203" s="45"/>
      <c r="U203" s="132"/>
      <c r="V203" s="45"/>
      <c r="W203" s="45"/>
      <c r="X203" s="45"/>
      <c r="Y203" s="45"/>
      <c r="Z203" s="45"/>
      <c r="AA203" s="45"/>
      <c r="AB203" s="45"/>
      <c r="AC203" s="45"/>
      <c r="AD203" s="45"/>
      <c r="AE203" s="45"/>
      <c r="AF203" s="45"/>
      <c r="AG203" s="132"/>
      <c r="AH203" s="132"/>
      <c r="AI203" s="45"/>
      <c r="AJ203" s="45"/>
      <c r="AK203" s="45"/>
      <c r="AL203" s="45"/>
      <c r="AM203" s="45"/>
      <c r="AN203" s="45"/>
      <c r="AO203" s="45"/>
      <c r="AP203" s="45"/>
      <c r="AQ203" s="114"/>
    </row>
    <row r="204" spans="1:43" ht="15.75" customHeight="1">
      <c r="A204" s="44"/>
      <c r="B204" s="45"/>
      <c r="C204" s="45"/>
      <c r="D204" s="45"/>
      <c r="E204" s="45"/>
      <c r="F204" s="45"/>
      <c r="G204" s="45"/>
      <c r="H204" s="45"/>
      <c r="I204" s="45"/>
      <c r="J204" s="45"/>
      <c r="K204" s="45"/>
      <c r="L204" s="45"/>
      <c r="M204" s="45"/>
      <c r="N204" s="45"/>
      <c r="O204" s="45"/>
      <c r="P204" s="45"/>
      <c r="Q204" s="45"/>
      <c r="R204" s="45"/>
      <c r="S204" s="45"/>
      <c r="T204" s="45"/>
      <c r="U204" s="132"/>
      <c r="V204" s="45"/>
      <c r="W204" s="45"/>
      <c r="X204" s="45"/>
      <c r="Y204" s="45"/>
      <c r="Z204" s="45"/>
      <c r="AA204" s="45"/>
      <c r="AB204" s="45"/>
      <c r="AC204" s="45"/>
      <c r="AD204" s="45"/>
      <c r="AE204" s="45"/>
      <c r="AF204" s="45"/>
      <c r="AG204" s="132"/>
      <c r="AH204" s="132"/>
      <c r="AI204" s="45"/>
      <c r="AJ204" s="45"/>
      <c r="AK204" s="45"/>
      <c r="AL204" s="45"/>
      <c r="AM204" s="45"/>
      <c r="AN204" s="45"/>
      <c r="AO204" s="45"/>
      <c r="AP204" s="45"/>
      <c r="AQ204" s="114"/>
    </row>
    <row r="205" spans="1:43" ht="15.75" customHeight="1">
      <c r="A205" s="44"/>
      <c r="B205" s="45"/>
      <c r="C205" s="45"/>
      <c r="D205" s="45"/>
      <c r="E205" s="45"/>
      <c r="F205" s="45"/>
      <c r="G205" s="45"/>
      <c r="H205" s="45"/>
      <c r="I205" s="45"/>
      <c r="J205" s="45"/>
      <c r="K205" s="45"/>
      <c r="L205" s="45"/>
      <c r="M205" s="45"/>
      <c r="N205" s="45"/>
      <c r="O205" s="45"/>
      <c r="P205" s="45"/>
      <c r="Q205" s="45"/>
      <c r="R205" s="45"/>
      <c r="S205" s="45"/>
      <c r="T205" s="45"/>
      <c r="U205" s="132"/>
      <c r="V205" s="45"/>
      <c r="W205" s="45"/>
      <c r="X205" s="45"/>
      <c r="Y205" s="45"/>
      <c r="Z205" s="45"/>
      <c r="AA205" s="45"/>
      <c r="AB205" s="45"/>
      <c r="AC205" s="45"/>
      <c r="AD205" s="45"/>
      <c r="AE205" s="45"/>
      <c r="AF205" s="45"/>
      <c r="AG205" s="132"/>
      <c r="AH205" s="132"/>
      <c r="AI205" s="45"/>
      <c r="AJ205" s="45"/>
      <c r="AK205" s="45"/>
      <c r="AL205" s="45"/>
      <c r="AM205" s="45"/>
      <c r="AN205" s="45"/>
      <c r="AO205" s="45"/>
      <c r="AP205" s="45"/>
      <c r="AQ205" s="114"/>
    </row>
    <row r="206" spans="1:43" ht="15.75" customHeight="1">
      <c r="A206" s="44"/>
      <c r="B206" s="45"/>
      <c r="C206" s="45"/>
      <c r="D206" s="45"/>
      <c r="E206" s="45"/>
      <c r="F206" s="45"/>
      <c r="G206" s="45"/>
      <c r="H206" s="45"/>
      <c r="I206" s="45"/>
      <c r="J206" s="45"/>
      <c r="K206" s="45"/>
      <c r="L206" s="45"/>
      <c r="M206" s="45"/>
      <c r="N206" s="45"/>
      <c r="O206" s="45"/>
      <c r="P206" s="45"/>
      <c r="Q206" s="45"/>
      <c r="R206" s="45"/>
      <c r="S206" s="45"/>
      <c r="T206" s="45"/>
      <c r="U206" s="132"/>
      <c r="V206" s="45"/>
      <c r="W206" s="45"/>
      <c r="X206" s="45"/>
      <c r="Y206" s="45"/>
      <c r="Z206" s="45"/>
      <c r="AA206" s="45"/>
      <c r="AB206" s="45"/>
      <c r="AC206" s="45"/>
      <c r="AD206" s="45"/>
      <c r="AE206" s="45"/>
      <c r="AF206" s="45"/>
      <c r="AG206" s="132"/>
      <c r="AH206" s="132"/>
      <c r="AI206" s="45"/>
      <c r="AJ206" s="45"/>
      <c r="AK206" s="45"/>
      <c r="AL206" s="45"/>
      <c r="AM206" s="45"/>
      <c r="AN206" s="45"/>
      <c r="AO206" s="45"/>
      <c r="AP206" s="45"/>
      <c r="AQ206" s="114"/>
    </row>
    <row r="207" spans="1:43" ht="15.75" customHeight="1">
      <c r="A207" s="44"/>
      <c r="B207" s="45"/>
      <c r="C207" s="45"/>
      <c r="D207" s="45"/>
      <c r="E207" s="45"/>
      <c r="F207" s="45"/>
      <c r="G207" s="45"/>
      <c r="H207" s="45"/>
      <c r="I207" s="45"/>
      <c r="J207" s="45"/>
      <c r="K207" s="45"/>
      <c r="L207" s="45"/>
      <c r="M207" s="45"/>
      <c r="N207" s="45"/>
      <c r="O207" s="45"/>
      <c r="P207" s="45"/>
      <c r="Q207" s="45"/>
      <c r="R207" s="45"/>
      <c r="S207" s="45"/>
      <c r="T207" s="45"/>
      <c r="U207" s="132"/>
      <c r="V207" s="45"/>
      <c r="W207" s="45"/>
      <c r="X207" s="45"/>
      <c r="Y207" s="45"/>
      <c r="Z207" s="45"/>
      <c r="AA207" s="45"/>
      <c r="AB207" s="45"/>
      <c r="AC207" s="45"/>
      <c r="AD207" s="45"/>
      <c r="AE207" s="45"/>
      <c r="AF207" s="45"/>
      <c r="AG207" s="132"/>
      <c r="AH207" s="132"/>
      <c r="AI207" s="45"/>
      <c r="AJ207" s="45"/>
      <c r="AK207" s="45"/>
      <c r="AL207" s="45"/>
      <c r="AM207" s="45"/>
      <c r="AN207" s="45"/>
      <c r="AO207" s="45"/>
      <c r="AP207" s="45"/>
      <c r="AQ207" s="114"/>
    </row>
    <row r="208" spans="1:43" ht="15.75" customHeight="1">
      <c r="A208" s="44"/>
      <c r="B208" s="45"/>
      <c r="C208" s="45"/>
      <c r="D208" s="45"/>
      <c r="E208" s="45"/>
      <c r="F208" s="45"/>
      <c r="G208" s="45"/>
      <c r="H208" s="45"/>
      <c r="I208" s="45"/>
      <c r="J208" s="45"/>
      <c r="K208" s="45"/>
      <c r="L208" s="45"/>
      <c r="M208" s="45"/>
      <c r="N208" s="45"/>
      <c r="O208" s="45"/>
      <c r="P208" s="45"/>
      <c r="Q208" s="45"/>
      <c r="R208" s="45"/>
      <c r="S208" s="45"/>
      <c r="T208" s="45"/>
      <c r="U208" s="132"/>
      <c r="V208" s="45"/>
      <c r="W208" s="45"/>
      <c r="X208" s="45"/>
      <c r="Y208" s="45"/>
      <c r="Z208" s="45"/>
      <c r="AA208" s="45"/>
      <c r="AB208" s="45"/>
      <c r="AC208" s="45"/>
      <c r="AD208" s="45"/>
      <c r="AE208" s="45"/>
      <c r="AF208" s="45"/>
      <c r="AG208" s="132"/>
      <c r="AH208" s="132"/>
      <c r="AI208" s="45"/>
      <c r="AJ208" s="45"/>
      <c r="AK208" s="45"/>
      <c r="AL208" s="45"/>
      <c r="AM208" s="45"/>
      <c r="AN208" s="45"/>
      <c r="AO208" s="45"/>
      <c r="AP208" s="45"/>
      <c r="AQ208" s="114"/>
    </row>
    <row r="209" spans="1:43" ht="15.75" customHeight="1">
      <c r="A209" s="44"/>
      <c r="B209" s="45"/>
      <c r="C209" s="45"/>
      <c r="D209" s="45"/>
      <c r="E209" s="45"/>
      <c r="F209" s="45"/>
      <c r="G209" s="45"/>
      <c r="H209" s="45"/>
      <c r="I209" s="45"/>
      <c r="J209" s="45"/>
      <c r="K209" s="45"/>
      <c r="L209" s="45"/>
      <c r="M209" s="45"/>
      <c r="N209" s="45"/>
      <c r="O209" s="45"/>
      <c r="P209" s="45"/>
      <c r="Q209" s="45"/>
      <c r="R209" s="45"/>
      <c r="S209" s="45"/>
      <c r="T209" s="45"/>
      <c r="U209" s="132"/>
      <c r="V209" s="45"/>
      <c r="W209" s="45"/>
      <c r="X209" s="45"/>
      <c r="Y209" s="45"/>
      <c r="Z209" s="45"/>
      <c r="AA209" s="45"/>
      <c r="AB209" s="45"/>
      <c r="AC209" s="45"/>
      <c r="AD209" s="45"/>
      <c r="AE209" s="45"/>
      <c r="AF209" s="45"/>
      <c r="AG209" s="132"/>
      <c r="AH209" s="132"/>
      <c r="AI209" s="45"/>
      <c r="AJ209" s="45"/>
      <c r="AK209" s="45"/>
      <c r="AL209" s="45"/>
      <c r="AM209" s="45"/>
      <c r="AN209" s="45"/>
      <c r="AO209" s="45"/>
      <c r="AP209" s="45"/>
      <c r="AQ209" s="114"/>
    </row>
    <row r="210" spans="1:43" ht="15.75" customHeight="1">
      <c r="A210" s="44"/>
      <c r="B210" s="45"/>
      <c r="C210" s="45"/>
      <c r="D210" s="45"/>
      <c r="E210" s="45"/>
      <c r="F210" s="45"/>
      <c r="G210" s="45"/>
      <c r="H210" s="45"/>
      <c r="I210" s="45"/>
      <c r="J210" s="45"/>
      <c r="K210" s="45"/>
      <c r="L210" s="45"/>
      <c r="M210" s="45"/>
      <c r="N210" s="45"/>
      <c r="O210" s="45"/>
      <c r="P210" s="45"/>
      <c r="Q210" s="45"/>
      <c r="R210" s="45"/>
      <c r="S210" s="45"/>
      <c r="T210" s="45"/>
      <c r="U210" s="132"/>
      <c r="V210" s="45"/>
      <c r="W210" s="45"/>
      <c r="X210" s="45"/>
      <c r="Y210" s="45"/>
      <c r="Z210" s="45"/>
      <c r="AA210" s="45"/>
      <c r="AB210" s="45"/>
      <c r="AC210" s="45"/>
      <c r="AD210" s="45"/>
      <c r="AE210" s="45"/>
      <c r="AF210" s="45"/>
      <c r="AG210" s="132"/>
      <c r="AH210" s="132"/>
      <c r="AI210" s="45"/>
      <c r="AJ210" s="45"/>
      <c r="AK210" s="45"/>
      <c r="AL210" s="45"/>
      <c r="AM210" s="45"/>
      <c r="AN210" s="45"/>
      <c r="AO210" s="45"/>
      <c r="AP210" s="45"/>
      <c r="AQ210" s="114"/>
    </row>
    <row r="211" spans="1:43" ht="15.75" customHeight="1">
      <c r="A211" s="44"/>
      <c r="B211" s="45"/>
      <c r="C211" s="45"/>
      <c r="D211" s="45"/>
      <c r="E211" s="45"/>
      <c r="F211" s="45"/>
      <c r="G211" s="45"/>
      <c r="H211" s="45"/>
      <c r="I211" s="45"/>
      <c r="J211" s="45"/>
      <c r="K211" s="45"/>
      <c r="L211" s="45"/>
      <c r="M211" s="45"/>
      <c r="N211" s="45"/>
      <c r="O211" s="45"/>
      <c r="P211" s="45"/>
      <c r="Q211" s="45"/>
      <c r="R211" s="45"/>
      <c r="S211" s="45"/>
      <c r="T211" s="45"/>
      <c r="U211" s="132"/>
      <c r="V211" s="45"/>
      <c r="W211" s="45"/>
      <c r="X211" s="45"/>
      <c r="Y211" s="45"/>
      <c r="Z211" s="45"/>
      <c r="AA211" s="45"/>
      <c r="AB211" s="45"/>
      <c r="AC211" s="45"/>
      <c r="AD211" s="45"/>
      <c r="AE211" s="45"/>
      <c r="AF211" s="45"/>
      <c r="AG211" s="132"/>
      <c r="AH211" s="132"/>
      <c r="AI211" s="45"/>
      <c r="AJ211" s="45"/>
      <c r="AK211" s="45"/>
      <c r="AL211" s="45"/>
      <c r="AM211" s="45"/>
      <c r="AN211" s="45"/>
      <c r="AO211" s="45"/>
      <c r="AP211" s="45"/>
      <c r="AQ211" s="114"/>
    </row>
    <row r="212" spans="1:43" ht="15.75" customHeight="1">
      <c r="A212" s="44"/>
      <c r="B212" s="45"/>
      <c r="C212" s="45"/>
      <c r="D212" s="45"/>
      <c r="E212" s="45"/>
      <c r="F212" s="45"/>
      <c r="G212" s="45"/>
      <c r="H212" s="45"/>
      <c r="I212" s="45"/>
      <c r="J212" s="45"/>
      <c r="K212" s="45"/>
      <c r="L212" s="45"/>
      <c r="M212" s="45"/>
      <c r="N212" s="45"/>
      <c r="O212" s="45"/>
      <c r="P212" s="45"/>
      <c r="Q212" s="45"/>
      <c r="R212" s="45"/>
      <c r="S212" s="45"/>
      <c r="T212" s="45"/>
      <c r="U212" s="132"/>
      <c r="V212" s="45"/>
      <c r="W212" s="45"/>
      <c r="X212" s="45"/>
      <c r="Y212" s="45"/>
      <c r="Z212" s="45"/>
      <c r="AA212" s="45"/>
      <c r="AB212" s="45"/>
      <c r="AC212" s="45"/>
      <c r="AD212" s="45"/>
      <c r="AE212" s="45"/>
      <c r="AF212" s="45"/>
      <c r="AG212" s="132"/>
      <c r="AH212" s="132"/>
      <c r="AI212" s="45"/>
      <c r="AJ212" s="45"/>
      <c r="AK212" s="45"/>
      <c r="AL212" s="45"/>
      <c r="AM212" s="45"/>
      <c r="AN212" s="45"/>
      <c r="AO212" s="45"/>
      <c r="AP212" s="45"/>
      <c r="AQ212" s="114"/>
    </row>
    <row r="213" spans="1:43" ht="15.75" customHeight="1">
      <c r="A213" s="44"/>
      <c r="B213" s="45"/>
      <c r="C213" s="45"/>
      <c r="D213" s="45"/>
      <c r="E213" s="45"/>
      <c r="F213" s="45"/>
      <c r="G213" s="45"/>
      <c r="H213" s="45"/>
      <c r="I213" s="45"/>
      <c r="J213" s="45"/>
      <c r="K213" s="45"/>
      <c r="L213" s="45"/>
      <c r="M213" s="45"/>
      <c r="N213" s="45"/>
      <c r="O213" s="45"/>
      <c r="P213" s="45"/>
      <c r="Q213" s="45"/>
      <c r="R213" s="45"/>
      <c r="S213" s="45"/>
      <c r="T213" s="45"/>
      <c r="U213" s="132"/>
      <c r="V213" s="45"/>
      <c r="W213" s="45"/>
      <c r="X213" s="45"/>
      <c r="Y213" s="45"/>
      <c r="Z213" s="45"/>
      <c r="AA213" s="45"/>
      <c r="AB213" s="45"/>
      <c r="AC213" s="45"/>
      <c r="AD213" s="45"/>
      <c r="AE213" s="45"/>
      <c r="AF213" s="45"/>
      <c r="AG213" s="132"/>
      <c r="AH213" s="132"/>
      <c r="AI213" s="45"/>
      <c r="AJ213" s="45"/>
      <c r="AK213" s="45"/>
      <c r="AL213" s="45"/>
      <c r="AM213" s="45"/>
      <c r="AN213" s="45"/>
      <c r="AO213" s="45"/>
      <c r="AP213" s="45"/>
      <c r="AQ213" s="114"/>
    </row>
    <row r="214" spans="1:43" ht="15.75" customHeight="1">
      <c r="A214" s="44"/>
      <c r="B214" s="45"/>
      <c r="C214" s="45"/>
      <c r="D214" s="45"/>
      <c r="E214" s="45"/>
      <c r="F214" s="45"/>
      <c r="G214" s="45"/>
      <c r="H214" s="45"/>
      <c r="I214" s="45"/>
      <c r="J214" s="45"/>
      <c r="K214" s="45"/>
      <c r="L214" s="45"/>
      <c r="M214" s="45"/>
      <c r="N214" s="45"/>
      <c r="O214" s="45"/>
      <c r="P214" s="45"/>
      <c r="Q214" s="45"/>
      <c r="R214" s="45"/>
      <c r="S214" s="45"/>
      <c r="T214" s="45"/>
      <c r="U214" s="132"/>
      <c r="V214" s="45"/>
      <c r="W214" s="45"/>
      <c r="X214" s="45"/>
      <c r="Y214" s="45"/>
      <c r="Z214" s="45"/>
      <c r="AA214" s="45"/>
      <c r="AB214" s="45"/>
      <c r="AC214" s="45"/>
      <c r="AD214" s="45"/>
      <c r="AE214" s="45"/>
      <c r="AF214" s="45"/>
      <c r="AG214" s="132"/>
      <c r="AH214" s="132"/>
      <c r="AI214" s="45"/>
      <c r="AJ214" s="45"/>
      <c r="AK214" s="45"/>
      <c r="AL214" s="45"/>
      <c r="AM214" s="45"/>
      <c r="AN214" s="45"/>
      <c r="AO214" s="45"/>
      <c r="AP214" s="45"/>
      <c r="AQ214" s="114"/>
    </row>
    <row r="215" spans="1:43" ht="15.75" customHeight="1">
      <c r="A215" s="44"/>
      <c r="B215" s="45"/>
      <c r="C215" s="45"/>
      <c r="D215" s="45"/>
      <c r="E215" s="45"/>
      <c r="F215" s="45"/>
      <c r="G215" s="45"/>
      <c r="H215" s="45"/>
      <c r="I215" s="45"/>
      <c r="J215" s="45"/>
      <c r="K215" s="45"/>
      <c r="L215" s="45"/>
      <c r="M215" s="45"/>
      <c r="N215" s="45"/>
      <c r="O215" s="45"/>
      <c r="P215" s="45"/>
      <c r="Q215" s="45"/>
      <c r="R215" s="45"/>
      <c r="S215" s="45"/>
      <c r="T215" s="45"/>
      <c r="U215" s="132"/>
      <c r="V215" s="45"/>
      <c r="W215" s="45"/>
      <c r="X215" s="45"/>
      <c r="Y215" s="45"/>
      <c r="Z215" s="45"/>
      <c r="AA215" s="45"/>
      <c r="AB215" s="45"/>
      <c r="AC215" s="45"/>
      <c r="AD215" s="45"/>
      <c r="AE215" s="45"/>
      <c r="AF215" s="45"/>
      <c r="AG215" s="132"/>
      <c r="AH215" s="132"/>
      <c r="AI215" s="45"/>
      <c r="AJ215" s="45"/>
      <c r="AK215" s="45"/>
      <c r="AL215" s="45"/>
      <c r="AM215" s="45"/>
      <c r="AN215" s="45"/>
      <c r="AO215" s="45"/>
      <c r="AP215" s="45"/>
      <c r="AQ215" s="114"/>
    </row>
    <row r="216" spans="1:43" ht="15.75" customHeight="1">
      <c r="A216" s="44"/>
      <c r="B216" s="45"/>
      <c r="C216" s="45"/>
      <c r="D216" s="45"/>
      <c r="E216" s="45"/>
      <c r="F216" s="45"/>
      <c r="G216" s="45"/>
      <c r="H216" s="45"/>
      <c r="I216" s="45"/>
      <c r="J216" s="45"/>
      <c r="K216" s="45"/>
      <c r="L216" s="45"/>
      <c r="M216" s="45"/>
      <c r="N216" s="45"/>
      <c r="O216" s="45"/>
      <c r="P216" s="45"/>
      <c r="Q216" s="45"/>
      <c r="R216" s="45"/>
      <c r="S216" s="45"/>
      <c r="T216" s="45"/>
      <c r="U216" s="132"/>
      <c r="V216" s="45"/>
      <c r="W216" s="45"/>
      <c r="X216" s="45"/>
      <c r="Y216" s="45"/>
      <c r="Z216" s="45"/>
      <c r="AA216" s="45"/>
      <c r="AB216" s="45"/>
      <c r="AC216" s="45"/>
      <c r="AD216" s="45"/>
      <c r="AE216" s="45"/>
      <c r="AF216" s="45"/>
      <c r="AG216" s="132"/>
      <c r="AH216" s="132"/>
      <c r="AI216" s="45"/>
      <c r="AJ216" s="45"/>
      <c r="AK216" s="45"/>
      <c r="AL216" s="45"/>
      <c r="AM216" s="45"/>
      <c r="AN216" s="45"/>
      <c r="AO216" s="45"/>
      <c r="AP216" s="45"/>
      <c r="AQ216" s="114"/>
    </row>
    <row r="217" spans="1:43" ht="15.75" customHeight="1">
      <c r="A217" s="44"/>
      <c r="B217" s="45"/>
      <c r="C217" s="45"/>
      <c r="D217" s="45"/>
      <c r="E217" s="45"/>
      <c r="F217" s="45"/>
      <c r="G217" s="45"/>
      <c r="H217" s="45"/>
      <c r="I217" s="45"/>
      <c r="J217" s="45"/>
      <c r="K217" s="45"/>
      <c r="L217" s="45"/>
      <c r="M217" s="45"/>
      <c r="N217" s="45"/>
      <c r="O217" s="45"/>
      <c r="P217" s="45"/>
      <c r="Q217" s="45"/>
      <c r="R217" s="45"/>
      <c r="S217" s="45"/>
      <c r="T217" s="45"/>
      <c r="U217" s="132"/>
      <c r="V217" s="45"/>
      <c r="W217" s="45"/>
      <c r="X217" s="45"/>
      <c r="Y217" s="45"/>
      <c r="Z217" s="45"/>
      <c r="AA217" s="45"/>
      <c r="AB217" s="45"/>
      <c r="AC217" s="45"/>
      <c r="AD217" s="45"/>
      <c r="AE217" s="45"/>
      <c r="AF217" s="45"/>
      <c r="AG217" s="132"/>
      <c r="AH217" s="132"/>
      <c r="AI217" s="45"/>
      <c r="AJ217" s="45"/>
      <c r="AK217" s="45"/>
      <c r="AL217" s="45"/>
      <c r="AM217" s="45"/>
      <c r="AN217" s="45"/>
      <c r="AO217" s="45"/>
      <c r="AP217" s="45"/>
      <c r="AQ217" s="114"/>
    </row>
    <row r="218" spans="1:43" ht="15.75" customHeight="1">
      <c r="A218" s="44"/>
      <c r="B218" s="45"/>
      <c r="C218" s="45"/>
      <c r="D218" s="45"/>
      <c r="E218" s="45"/>
      <c r="F218" s="45"/>
      <c r="G218" s="45"/>
      <c r="H218" s="45"/>
      <c r="I218" s="45"/>
      <c r="J218" s="45"/>
      <c r="K218" s="45"/>
      <c r="L218" s="45"/>
      <c r="M218" s="45"/>
      <c r="N218" s="45"/>
      <c r="O218" s="45"/>
      <c r="P218" s="45"/>
      <c r="Q218" s="45"/>
      <c r="R218" s="45"/>
      <c r="S218" s="45"/>
      <c r="T218" s="45"/>
      <c r="U218" s="132"/>
      <c r="V218" s="45"/>
      <c r="W218" s="45"/>
      <c r="X218" s="45"/>
      <c r="Y218" s="45"/>
      <c r="Z218" s="45"/>
      <c r="AA218" s="45"/>
      <c r="AB218" s="45"/>
      <c r="AC218" s="45"/>
      <c r="AD218" s="45"/>
      <c r="AE218" s="45"/>
      <c r="AF218" s="45"/>
      <c r="AG218" s="132"/>
      <c r="AH218" s="132"/>
      <c r="AI218" s="45"/>
      <c r="AJ218" s="45"/>
      <c r="AK218" s="45"/>
      <c r="AL218" s="45"/>
      <c r="AM218" s="45"/>
      <c r="AN218" s="45"/>
      <c r="AO218" s="45"/>
      <c r="AP218" s="45"/>
      <c r="AQ218" s="114"/>
    </row>
    <row r="219" spans="1:43" ht="15.75" customHeight="1">
      <c r="A219" s="44"/>
      <c r="B219" s="45"/>
      <c r="C219" s="45"/>
      <c r="D219" s="45"/>
      <c r="E219" s="45"/>
      <c r="F219" s="45"/>
      <c r="G219" s="45"/>
      <c r="H219" s="45"/>
      <c r="I219" s="45"/>
      <c r="J219" s="45"/>
      <c r="K219" s="45"/>
      <c r="L219" s="45"/>
      <c r="M219" s="45"/>
      <c r="N219" s="45"/>
      <c r="O219" s="45"/>
      <c r="P219" s="45"/>
      <c r="Q219" s="45"/>
      <c r="R219" s="45"/>
      <c r="S219" s="45"/>
      <c r="T219" s="45"/>
      <c r="U219" s="132"/>
      <c r="V219" s="45"/>
      <c r="W219" s="45"/>
      <c r="X219" s="45"/>
      <c r="Y219" s="45"/>
      <c r="Z219" s="45"/>
      <c r="AA219" s="45"/>
      <c r="AB219" s="45"/>
      <c r="AC219" s="45"/>
      <c r="AD219" s="45"/>
      <c r="AE219" s="45"/>
      <c r="AF219" s="45"/>
      <c r="AG219" s="132"/>
      <c r="AH219" s="132"/>
      <c r="AI219" s="45"/>
      <c r="AJ219" s="45"/>
      <c r="AK219" s="45"/>
      <c r="AL219" s="45"/>
      <c r="AM219" s="45"/>
      <c r="AN219" s="45"/>
      <c r="AO219" s="45"/>
      <c r="AP219" s="45"/>
      <c r="AQ219" s="114"/>
    </row>
    <row r="220" spans="1:43" ht="15.75" customHeight="1">
      <c r="A220" s="44"/>
      <c r="B220" s="45"/>
      <c r="C220" s="45"/>
      <c r="D220" s="45"/>
      <c r="E220" s="45"/>
      <c r="F220" s="45"/>
      <c r="G220" s="45"/>
      <c r="H220" s="45"/>
      <c r="I220" s="45"/>
      <c r="J220" s="45"/>
      <c r="K220" s="45"/>
      <c r="L220" s="45"/>
      <c r="M220" s="45"/>
      <c r="N220" s="45"/>
      <c r="O220" s="45"/>
      <c r="P220" s="45"/>
      <c r="Q220" s="45"/>
      <c r="R220" s="45"/>
      <c r="S220" s="45"/>
      <c r="T220" s="45"/>
      <c r="U220" s="132"/>
      <c r="V220" s="45"/>
      <c r="W220" s="45"/>
      <c r="X220" s="45"/>
      <c r="Y220" s="45"/>
      <c r="Z220" s="45"/>
      <c r="AA220" s="45"/>
      <c r="AB220" s="45"/>
      <c r="AC220" s="45"/>
      <c r="AD220" s="45"/>
      <c r="AE220" s="45"/>
      <c r="AF220" s="45"/>
      <c r="AG220" s="132"/>
      <c r="AH220" s="132"/>
      <c r="AI220" s="45"/>
      <c r="AJ220" s="45"/>
      <c r="AK220" s="45"/>
      <c r="AL220" s="45"/>
      <c r="AM220" s="45"/>
      <c r="AN220" s="45"/>
      <c r="AO220" s="45"/>
      <c r="AP220" s="45"/>
      <c r="AQ220" s="114"/>
    </row>
    <row r="221" spans="1:43" ht="15.75" customHeight="1">
      <c r="A221" s="44"/>
      <c r="B221" s="45"/>
      <c r="C221" s="45"/>
      <c r="D221" s="45"/>
      <c r="E221" s="45"/>
      <c r="F221" s="45"/>
      <c r="G221" s="45"/>
      <c r="H221" s="45"/>
      <c r="I221" s="45"/>
      <c r="J221" s="45"/>
      <c r="K221" s="45"/>
      <c r="L221" s="45"/>
      <c r="M221" s="45"/>
      <c r="N221" s="45"/>
      <c r="O221" s="45"/>
      <c r="P221" s="45"/>
      <c r="Q221" s="45"/>
      <c r="R221" s="45"/>
      <c r="S221" s="45"/>
      <c r="T221" s="45"/>
      <c r="U221" s="132"/>
      <c r="V221" s="45"/>
      <c r="W221" s="45"/>
      <c r="X221" s="45"/>
      <c r="Y221" s="45"/>
      <c r="Z221" s="45"/>
      <c r="AA221" s="45"/>
      <c r="AB221" s="45"/>
      <c r="AC221" s="45"/>
      <c r="AD221" s="45"/>
      <c r="AE221" s="45"/>
      <c r="AF221" s="45"/>
      <c r="AG221" s="132"/>
      <c r="AH221" s="132"/>
      <c r="AI221" s="45"/>
      <c r="AJ221" s="45"/>
      <c r="AK221" s="45"/>
      <c r="AL221" s="45"/>
      <c r="AM221" s="45"/>
      <c r="AN221" s="45"/>
      <c r="AO221" s="45"/>
      <c r="AP221" s="45"/>
      <c r="AQ221" s="114"/>
    </row>
    <row r="222" spans="1:43" ht="15.75" customHeight="1">
      <c r="A222" s="44"/>
      <c r="B222" s="45"/>
      <c r="C222" s="45"/>
      <c r="D222" s="45"/>
      <c r="E222" s="45"/>
      <c r="F222" s="45"/>
      <c r="G222" s="45"/>
      <c r="H222" s="45"/>
      <c r="I222" s="45"/>
      <c r="J222" s="45"/>
      <c r="K222" s="45"/>
      <c r="L222" s="45"/>
      <c r="M222" s="45"/>
      <c r="N222" s="45"/>
      <c r="O222" s="45"/>
      <c r="P222" s="45"/>
      <c r="Q222" s="45"/>
      <c r="R222" s="45"/>
      <c r="S222" s="45"/>
      <c r="T222" s="45"/>
      <c r="U222" s="132"/>
      <c r="V222" s="45"/>
      <c r="W222" s="45"/>
      <c r="X222" s="45"/>
      <c r="Y222" s="45"/>
      <c r="Z222" s="45"/>
      <c r="AA222" s="45"/>
      <c r="AB222" s="45"/>
      <c r="AC222" s="45"/>
      <c r="AD222" s="45"/>
      <c r="AE222" s="45"/>
      <c r="AF222" s="45"/>
      <c r="AG222" s="132"/>
      <c r="AH222" s="132"/>
      <c r="AI222" s="45"/>
      <c r="AJ222" s="45"/>
      <c r="AK222" s="45"/>
      <c r="AL222" s="45"/>
      <c r="AM222" s="45"/>
      <c r="AN222" s="45"/>
      <c r="AO222" s="45"/>
      <c r="AP222" s="45"/>
      <c r="AQ222" s="114"/>
    </row>
    <row r="223" spans="1:43" ht="15.75" customHeight="1">
      <c r="A223" s="44"/>
      <c r="B223" s="45"/>
      <c r="C223" s="45"/>
      <c r="D223" s="45"/>
      <c r="E223" s="45"/>
      <c r="F223" s="45"/>
      <c r="G223" s="45"/>
      <c r="H223" s="45"/>
      <c r="I223" s="45"/>
      <c r="J223" s="45"/>
      <c r="K223" s="45"/>
      <c r="L223" s="45"/>
      <c r="M223" s="45"/>
      <c r="N223" s="45"/>
      <c r="O223" s="45"/>
      <c r="P223" s="45"/>
      <c r="Q223" s="45"/>
      <c r="R223" s="45"/>
      <c r="S223" s="45"/>
      <c r="T223" s="45"/>
      <c r="U223" s="132"/>
      <c r="V223" s="45"/>
      <c r="W223" s="45"/>
      <c r="X223" s="45"/>
      <c r="Y223" s="45"/>
      <c r="Z223" s="45"/>
      <c r="AA223" s="45"/>
      <c r="AB223" s="45"/>
      <c r="AC223" s="45"/>
      <c r="AD223" s="45"/>
      <c r="AE223" s="45"/>
      <c r="AF223" s="45"/>
      <c r="AG223" s="132"/>
      <c r="AH223" s="132"/>
      <c r="AI223" s="45"/>
      <c r="AJ223" s="45"/>
      <c r="AK223" s="45"/>
      <c r="AL223" s="45"/>
      <c r="AM223" s="45"/>
      <c r="AN223" s="45"/>
      <c r="AO223" s="45"/>
      <c r="AP223" s="45"/>
      <c r="AQ223" s="114"/>
    </row>
    <row r="224" spans="1:43" ht="15.75" customHeight="1">
      <c r="A224" s="44"/>
      <c r="B224" s="45"/>
      <c r="C224" s="45"/>
      <c r="D224" s="45"/>
      <c r="E224" s="45"/>
      <c r="F224" s="45"/>
      <c r="G224" s="45"/>
      <c r="H224" s="45"/>
      <c r="I224" s="45"/>
      <c r="J224" s="45"/>
      <c r="K224" s="45"/>
      <c r="L224" s="45"/>
      <c r="M224" s="45"/>
      <c r="N224" s="45"/>
      <c r="O224" s="45"/>
      <c r="P224" s="45"/>
      <c r="Q224" s="45"/>
      <c r="R224" s="45"/>
      <c r="S224" s="45"/>
      <c r="T224" s="45"/>
      <c r="U224" s="132"/>
      <c r="V224" s="45"/>
      <c r="W224" s="45"/>
      <c r="X224" s="45"/>
      <c r="Y224" s="45"/>
      <c r="Z224" s="45"/>
      <c r="AA224" s="45"/>
      <c r="AB224" s="45"/>
      <c r="AC224" s="45"/>
      <c r="AD224" s="45"/>
      <c r="AE224" s="45"/>
      <c r="AF224" s="45"/>
      <c r="AG224" s="132"/>
      <c r="AH224" s="132"/>
      <c r="AI224" s="45"/>
      <c r="AJ224" s="45"/>
      <c r="AK224" s="45"/>
      <c r="AL224" s="45"/>
      <c r="AM224" s="45"/>
      <c r="AN224" s="45"/>
      <c r="AO224" s="45"/>
      <c r="AP224" s="45"/>
      <c r="AQ224" s="114"/>
    </row>
    <row r="225" spans="1:43" ht="15.75" customHeight="1">
      <c r="A225" s="44"/>
      <c r="B225" s="45"/>
      <c r="C225" s="45"/>
      <c r="D225" s="45"/>
      <c r="E225" s="45"/>
      <c r="F225" s="45"/>
      <c r="G225" s="45"/>
      <c r="H225" s="45"/>
      <c r="I225" s="45"/>
      <c r="J225" s="45"/>
      <c r="K225" s="45"/>
      <c r="L225" s="45"/>
      <c r="M225" s="45"/>
      <c r="N225" s="45"/>
      <c r="O225" s="45"/>
      <c r="P225" s="45"/>
      <c r="Q225" s="45"/>
      <c r="R225" s="45"/>
      <c r="S225" s="45"/>
      <c r="T225" s="45"/>
      <c r="U225" s="132"/>
      <c r="V225" s="45"/>
      <c r="W225" s="45"/>
      <c r="X225" s="45"/>
      <c r="Y225" s="45"/>
      <c r="Z225" s="45"/>
      <c r="AA225" s="45"/>
      <c r="AB225" s="45"/>
      <c r="AC225" s="45"/>
      <c r="AD225" s="45"/>
      <c r="AE225" s="45"/>
      <c r="AF225" s="45"/>
      <c r="AG225" s="132"/>
      <c r="AH225" s="132"/>
      <c r="AI225" s="45"/>
      <c r="AJ225" s="45"/>
      <c r="AK225" s="45"/>
      <c r="AL225" s="45"/>
      <c r="AM225" s="45"/>
      <c r="AN225" s="45"/>
      <c r="AO225" s="45"/>
      <c r="AP225" s="45"/>
      <c r="AQ225" s="114"/>
    </row>
    <row r="226" spans="1:43" ht="15.75" customHeight="1">
      <c r="A226" s="44"/>
      <c r="B226" s="45"/>
      <c r="C226" s="45"/>
      <c r="D226" s="45"/>
      <c r="E226" s="45"/>
      <c r="F226" s="45"/>
      <c r="G226" s="45"/>
      <c r="H226" s="45"/>
      <c r="I226" s="45"/>
      <c r="J226" s="45"/>
      <c r="K226" s="45"/>
      <c r="L226" s="45"/>
      <c r="M226" s="45"/>
      <c r="N226" s="45"/>
      <c r="O226" s="45"/>
      <c r="P226" s="45"/>
      <c r="Q226" s="45"/>
      <c r="R226" s="45"/>
      <c r="S226" s="45"/>
      <c r="T226" s="45"/>
      <c r="U226" s="132"/>
      <c r="V226" s="45"/>
      <c r="W226" s="45"/>
      <c r="X226" s="45"/>
      <c r="Y226" s="45"/>
      <c r="Z226" s="45"/>
      <c r="AA226" s="45"/>
      <c r="AB226" s="45"/>
      <c r="AC226" s="45"/>
      <c r="AD226" s="45"/>
      <c r="AE226" s="45"/>
      <c r="AF226" s="45"/>
      <c r="AG226" s="132"/>
      <c r="AH226" s="132"/>
      <c r="AI226" s="45"/>
      <c r="AJ226" s="45"/>
      <c r="AK226" s="45"/>
      <c r="AL226" s="45"/>
      <c r="AM226" s="45"/>
      <c r="AN226" s="45"/>
      <c r="AO226" s="45"/>
      <c r="AP226" s="45"/>
      <c r="AQ226" s="114"/>
    </row>
    <row r="227" spans="1:43" ht="15.75" customHeight="1">
      <c r="A227" s="44"/>
      <c r="B227" s="45"/>
      <c r="C227" s="45"/>
      <c r="D227" s="45"/>
      <c r="E227" s="45"/>
      <c r="F227" s="45"/>
      <c r="G227" s="45"/>
      <c r="H227" s="45"/>
      <c r="I227" s="45"/>
      <c r="J227" s="45"/>
      <c r="K227" s="45"/>
      <c r="L227" s="45"/>
      <c r="M227" s="45"/>
      <c r="N227" s="45"/>
      <c r="O227" s="45"/>
      <c r="P227" s="45"/>
      <c r="Q227" s="45"/>
      <c r="R227" s="45"/>
      <c r="S227" s="45"/>
      <c r="T227" s="45"/>
      <c r="U227" s="132"/>
      <c r="V227" s="45"/>
      <c r="W227" s="45"/>
      <c r="X227" s="45"/>
      <c r="Y227" s="45"/>
      <c r="Z227" s="45"/>
      <c r="AA227" s="45"/>
      <c r="AB227" s="45"/>
      <c r="AC227" s="45"/>
      <c r="AD227" s="45"/>
      <c r="AE227" s="45"/>
      <c r="AF227" s="45"/>
      <c r="AG227" s="132"/>
      <c r="AH227" s="132"/>
      <c r="AI227" s="45"/>
      <c r="AJ227" s="45"/>
      <c r="AK227" s="45"/>
      <c r="AL227" s="45"/>
      <c r="AM227" s="45"/>
      <c r="AN227" s="45"/>
      <c r="AO227" s="45"/>
      <c r="AP227" s="45"/>
      <c r="AQ227" s="114"/>
    </row>
    <row r="228" spans="1:43" ht="15.75" customHeight="1">
      <c r="A228" s="44"/>
      <c r="B228" s="45"/>
      <c r="C228" s="45"/>
      <c r="D228" s="45"/>
      <c r="E228" s="45"/>
      <c r="F228" s="45"/>
      <c r="G228" s="45"/>
      <c r="H228" s="45"/>
      <c r="I228" s="45"/>
      <c r="J228" s="45"/>
      <c r="K228" s="45"/>
      <c r="L228" s="45"/>
      <c r="M228" s="45"/>
      <c r="N228" s="45"/>
      <c r="O228" s="45"/>
      <c r="P228" s="45"/>
      <c r="Q228" s="45"/>
      <c r="R228" s="45"/>
      <c r="S228" s="45"/>
      <c r="T228" s="45"/>
      <c r="U228" s="132"/>
      <c r="V228" s="45"/>
      <c r="W228" s="45"/>
      <c r="X228" s="45"/>
      <c r="Y228" s="45"/>
      <c r="Z228" s="45"/>
      <c r="AA228" s="45"/>
      <c r="AB228" s="45"/>
      <c r="AC228" s="45"/>
      <c r="AD228" s="45"/>
      <c r="AE228" s="45"/>
      <c r="AF228" s="45"/>
      <c r="AG228" s="132"/>
      <c r="AH228" s="132"/>
      <c r="AI228" s="45"/>
      <c r="AJ228" s="45"/>
      <c r="AK228" s="45"/>
      <c r="AL228" s="45"/>
      <c r="AM228" s="45"/>
      <c r="AN228" s="45"/>
      <c r="AO228" s="45"/>
      <c r="AP228" s="45"/>
      <c r="AQ228" s="114"/>
    </row>
    <row r="229" spans="1:43" ht="15.75" customHeight="1">
      <c r="A229" s="44"/>
      <c r="B229" s="45"/>
      <c r="C229" s="45"/>
      <c r="D229" s="45"/>
      <c r="E229" s="45"/>
      <c r="F229" s="45"/>
      <c r="G229" s="45"/>
      <c r="H229" s="45"/>
      <c r="I229" s="45"/>
      <c r="J229" s="45"/>
      <c r="K229" s="45"/>
      <c r="L229" s="45"/>
      <c r="M229" s="45"/>
      <c r="N229" s="45"/>
      <c r="O229" s="45"/>
      <c r="P229" s="45"/>
      <c r="Q229" s="45"/>
      <c r="R229" s="45"/>
      <c r="S229" s="45"/>
      <c r="T229" s="45"/>
      <c r="U229" s="132"/>
      <c r="V229" s="45"/>
      <c r="W229" s="45"/>
      <c r="X229" s="45"/>
      <c r="Y229" s="45"/>
      <c r="Z229" s="45"/>
      <c r="AA229" s="45"/>
      <c r="AB229" s="45"/>
      <c r="AC229" s="45"/>
      <c r="AD229" s="45"/>
      <c r="AE229" s="45"/>
      <c r="AF229" s="45"/>
      <c r="AG229" s="132"/>
      <c r="AH229" s="132"/>
      <c r="AI229" s="45"/>
      <c r="AJ229" s="45"/>
      <c r="AK229" s="45"/>
      <c r="AL229" s="45"/>
      <c r="AM229" s="45"/>
      <c r="AN229" s="45"/>
      <c r="AO229" s="45"/>
      <c r="AP229" s="45"/>
      <c r="AQ229" s="114"/>
    </row>
    <row r="230" spans="1:43" ht="15.75" customHeight="1">
      <c r="A230" s="44"/>
      <c r="B230" s="45"/>
      <c r="C230" s="45"/>
      <c r="D230" s="45"/>
      <c r="E230" s="45"/>
      <c r="F230" s="45"/>
      <c r="G230" s="45"/>
      <c r="H230" s="45"/>
      <c r="I230" s="45"/>
      <c r="J230" s="45"/>
      <c r="K230" s="45"/>
      <c r="L230" s="45"/>
      <c r="M230" s="45"/>
      <c r="N230" s="45"/>
      <c r="O230" s="45"/>
      <c r="P230" s="45"/>
      <c r="Q230" s="45"/>
      <c r="R230" s="45"/>
      <c r="S230" s="45"/>
      <c r="T230" s="45"/>
      <c r="U230" s="132"/>
      <c r="V230" s="45"/>
      <c r="W230" s="45"/>
      <c r="X230" s="45"/>
      <c r="Y230" s="45"/>
      <c r="Z230" s="45"/>
      <c r="AA230" s="45"/>
      <c r="AB230" s="45"/>
      <c r="AC230" s="45"/>
      <c r="AD230" s="45"/>
      <c r="AE230" s="45"/>
      <c r="AF230" s="45"/>
      <c r="AG230" s="132"/>
      <c r="AH230" s="132"/>
      <c r="AI230" s="45"/>
      <c r="AJ230" s="45"/>
      <c r="AK230" s="45"/>
      <c r="AL230" s="45"/>
      <c r="AM230" s="45"/>
      <c r="AN230" s="45"/>
      <c r="AO230" s="45"/>
      <c r="AP230" s="45"/>
      <c r="AQ230" s="114"/>
    </row>
    <row r="231" spans="1:43" ht="15.75" customHeight="1">
      <c r="A231" s="44"/>
      <c r="B231" s="45"/>
      <c r="C231" s="45"/>
      <c r="D231" s="45"/>
      <c r="E231" s="45"/>
      <c r="F231" s="45"/>
      <c r="G231" s="45"/>
      <c r="H231" s="45"/>
      <c r="I231" s="45"/>
      <c r="J231" s="45"/>
      <c r="K231" s="45"/>
      <c r="L231" s="45"/>
      <c r="M231" s="45"/>
      <c r="N231" s="45"/>
      <c r="O231" s="45"/>
      <c r="P231" s="45"/>
      <c r="Q231" s="45"/>
      <c r="R231" s="45"/>
      <c r="S231" s="45"/>
      <c r="T231" s="45"/>
      <c r="U231" s="132"/>
      <c r="V231" s="45"/>
      <c r="W231" s="45"/>
      <c r="X231" s="45"/>
      <c r="Y231" s="45"/>
      <c r="Z231" s="45"/>
      <c r="AA231" s="45"/>
      <c r="AB231" s="45"/>
      <c r="AC231" s="45"/>
      <c r="AD231" s="45"/>
      <c r="AE231" s="45"/>
      <c r="AF231" s="45"/>
      <c r="AG231" s="132"/>
      <c r="AH231" s="132"/>
      <c r="AI231" s="45"/>
      <c r="AJ231" s="45"/>
      <c r="AK231" s="45"/>
      <c r="AL231" s="45"/>
      <c r="AM231" s="45"/>
      <c r="AN231" s="45"/>
      <c r="AO231" s="45"/>
      <c r="AP231" s="45"/>
      <c r="AQ231" s="114"/>
    </row>
    <row r="232" spans="1:43" ht="15.75" customHeight="1">
      <c r="A232" s="44"/>
      <c r="B232" s="45"/>
      <c r="C232" s="45"/>
      <c r="D232" s="45"/>
      <c r="E232" s="45"/>
      <c r="F232" s="45"/>
      <c r="G232" s="45"/>
      <c r="H232" s="45"/>
      <c r="I232" s="45"/>
      <c r="J232" s="45"/>
      <c r="K232" s="45"/>
      <c r="L232" s="45"/>
      <c r="M232" s="45"/>
      <c r="N232" s="45"/>
      <c r="O232" s="45"/>
      <c r="P232" s="45"/>
      <c r="Q232" s="45"/>
      <c r="R232" s="45"/>
      <c r="S232" s="45"/>
      <c r="T232" s="45"/>
      <c r="U232" s="132"/>
      <c r="V232" s="45"/>
      <c r="W232" s="45"/>
      <c r="X232" s="45"/>
      <c r="Y232" s="45"/>
      <c r="Z232" s="45"/>
      <c r="AA232" s="45"/>
      <c r="AB232" s="45"/>
      <c r="AC232" s="45"/>
      <c r="AD232" s="45"/>
      <c r="AE232" s="45"/>
      <c r="AF232" s="45"/>
      <c r="AG232" s="132"/>
      <c r="AH232" s="132"/>
      <c r="AI232" s="45"/>
      <c r="AJ232" s="45"/>
      <c r="AK232" s="45"/>
      <c r="AL232" s="45"/>
      <c r="AM232" s="45"/>
      <c r="AN232" s="45"/>
      <c r="AO232" s="45"/>
      <c r="AP232" s="45"/>
      <c r="AQ232" s="114"/>
    </row>
    <row r="233" spans="1:43" ht="15.75" customHeight="1">
      <c r="A233" s="44"/>
      <c r="B233" s="45"/>
      <c r="C233" s="45"/>
      <c r="D233" s="45"/>
      <c r="E233" s="45"/>
      <c r="F233" s="45"/>
      <c r="G233" s="45"/>
      <c r="H233" s="45"/>
      <c r="I233" s="45"/>
      <c r="J233" s="45"/>
      <c r="K233" s="45"/>
      <c r="L233" s="45"/>
      <c r="M233" s="45"/>
      <c r="N233" s="45"/>
      <c r="O233" s="45"/>
      <c r="P233" s="45"/>
      <c r="Q233" s="45"/>
      <c r="R233" s="45"/>
      <c r="S233" s="45"/>
      <c r="T233" s="45"/>
      <c r="U233" s="132"/>
      <c r="V233" s="45"/>
      <c r="W233" s="45"/>
      <c r="X233" s="45"/>
      <c r="Y233" s="45"/>
      <c r="Z233" s="45"/>
      <c r="AA233" s="45"/>
      <c r="AB233" s="45"/>
      <c r="AC233" s="45"/>
      <c r="AD233" s="45"/>
      <c r="AE233" s="45"/>
      <c r="AF233" s="45"/>
      <c r="AG233" s="132"/>
      <c r="AH233" s="132"/>
      <c r="AI233" s="45"/>
      <c r="AJ233" s="45"/>
      <c r="AK233" s="45"/>
      <c r="AL233" s="45"/>
      <c r="AM233" s="45"/>
      <c r="AN233" s="45"/>
      <c r="AO233" s="45"/>
      <c r="AP233" s="45"/>
      <c r="AQ233" s="114"/>
    </row>
    <row r="234" spans="1:43" ht="15.75" customHeight="1">
      <c r="A234" s="44"/>
      <c r="B234" s="45"/>
      <c r="C234" s="45"/>
      <c r="D234" s="45"/>
      <c r="E234" s="45"/>
      <c r="F234" s="45"/>
      <c r="G234" s="45"/>
      <c r="H234" s="45"/>
      <c r="I234" s="45"/>
      <c r="J234" s="45"/>
      <c r="K234" s="45"/>
      <c r="L234" s="45"/>
      <c r="M234" s="45"/>
      <c r="N234" s="45"/>
      <c r="O234" s="45"/>
      <c r="P234" s="45"/>
      <c r="Q234" s="45"/>
      <c r="R234" s="45"/>
      <c r="S234" s="45"/>
      <c r="T234" s="45"/>
      <c r="U234" s="132"/>
      <c r="V234" s="45"/>
      <c r="W234" s="45"/>
      <c r="X234" s="45"/>
      <c r="Y234" s="45"/>
      <c r="Z234" s="45"/>
      <c r="AA234" s="45"/>
      <c r="AB234" s="45"/>
      <c r="AC234" s="45"/>
      <c r="AD234" s="45"/>
      <c r="AE234" s="45"/>
      <c r="AF234" s="45"/>
      <c r="AG234" s="132"/>
      <c r="AH234" s="132"/>
      <c r="AI234" s="45"/>
      <c r="AJ234" s="45"/>
      <c r="AK234" s="45"/>
      <c r="AL234" s="45"/>
      <c r="AM234" s="45"/>
      <c r="AN234" s="45"/>
      <c r="AO234" s="45"/>
      <c r="AP234" s="45"/>
      <c r="AQ234" s="114"/>
    </row>
    <row r="235" spans="1:43" ht="15.75" customHeight="1">
      <c r="A235" s="44"/>
      <c r="B235" s="45"/>
      <c r="C235" s="45"/>
      <c r="D235" s="45"/>
      <c r="E235" s="45"/>
      <c r="F235" s="45"/>
      <c r="G235" s="45"/>
      <c r="H235" s="45"/>
      <c r="I235" s="45"/>
      <c r="J235" s="45"/>
      <c r="K235" s="45"/>
      <c r="L235" s="45"/>
      <c r="M235" s="45"/>
      <c r="N235" s="45"/>
      <c r="O235" s="45"/>
      <c r="P235" s="45"/>
      <c r="Q235" s="45"/>
      <c r="R235" s="45"/>
      <c r="S235" s="45"/>
      <c r="T235" s="45"/>
      <c r="U235" s="132"/>
      <c r="V235" s="45"/>
      <c r="W235" s="45"/>
      <c r="X235" s="45"/>
      <c r="Y235" s="45"/>
      <c r="Z235" s="45"/>
      <c r="AA235" s="45"/>
      <c r="AB235" s="45"/>
      <c r="AC235" s="45"/>
      <c r="AD235" s="45"/>
      <c r="AE235" s="45"/>
      <c r="AF235" s="45"/>
      <c r="AG235" s="132"/>
      <c r="AH235" s="132"/>
      <c r="AI235" s="45"/>
      <c r="AJ235" s="45"/>
      <c r="AK235" s="45"/>
      <c r="AL235" s="45"/>
      <c r="AM235" s="45"/>
      <c r="AN235" s="45"/>
      <c r="AO235" s="45"/>
      <c r="AP235" s="45"/>
      <c r="AQ235" s="114"/>
    </row>
    <row r="236" spans="1:43" ht="15.75" customHeight="1">
      <c r="A236" s="44"/>
      <c r="B236" s="45"/>
      <c r="C236" s="45"/>
      <c r="D236" s="45"/>
      <c r="E236" s="45"/>
      <c r="F236" s="45"/>
      <c r="G236" s="45"/>
      <c r="H236" s="45"/>
      <c r="I236" s="45"/>
      <c r="J236" s="45"/>
      <c r="K236" s="45"/>
      <c r="L236" s="45"/>
      <c r="M236" s="45"/>
      <c r="N236" s="45"/>
      <c r="O236" s="45"/>
      <c r="P236" s="45"/>
      <c r="Q236" s="45"/>
      <c r="R236" s="45"/>
      <c r="S236" s="45"/>
      <c r="T236" s="45"/>
      <c r="U236" s="132"/>
      <c r="V236" s="45"/>
      <c r="W236" s="45"/>
      <c r="X236" s="45"/>
      <c r="Y236" s="45"/>
      <c r="Z236" s="45"/>
      <c r="AA236" s="45"/>
      <c r="AB236" s="45"/>
      <c r="AC236" s="45"/>
      <c r="AD236" s="45"/>
      <c r="AE236" s="45"/>
      <c r="AF236" s="45"/>
      <c r="AG236" s="132"/>
      <c r="AH236" s="132"/>
      <c r="AI236" s="45"/>
      <c r="AJ236" s="45"/>
      <c r="AK236" s="45"/>
      <c r="AL236" s="45"/>
      <c r="AM236" s="45"/>
      <c r="AN236" s="45"/>
      <c r="AO236" s="45"/>
      <c r="AP236" s="45"/>
      <c r="AQ236" s="114"/>
    </row>
    <row r="237" spans="1:43" ht="15.75" customHeight="1">
      <c r="A237" s="44"/>
      <c r="B237" s="45"/>
      <c r="C237" s="45"/>
      <c r="D237" s="45"/>
      <c r="E237" s="45"/>
      <c r="F237" s="45"/>
      <c r="G237" s="45"/>
      <c r="H237" s="45"/>
      <c r="I237" s="45"/>
      <c r="J237" s="45"/>
      <c r="K237" s="45"/>
      <c r="L237" s="45"/>
      <c r="M237" s="45"/>
      <c r="N237" s="45"/>
      <c r="O237" s="45"/>
      <c r="P237" s="45"/>
      <c r="Q237" s="45"/>
      <c r="R237" s="45"/>
      <c r="S237" s="45"/>
      <c r="T237" s="45"/>
      <c r="U237" s="132"/>
      <c r="V237" s="45"/>
      <c r="W237" s="45"/>
      <c r="X237" s="45"/>
      <c r="Y237" s="45"/>
      <c r="Z237" s="45"/>
      <c r="AA237" s="45"/>
      <c r="AB237" s="45"/>
      <c r="AC237" s="45"/>
      <c r="AD237" s="45"/>
      <c r="AE237" s="45"/>
      <c r="AF237" s="45"/>
      <c r="AG237" s="132"/>
      <c r="AH237" s="132"/>
      <c r="AI237" s="45"/>
      <c r="AJ237" s="45"/>
      <c r="AK237" s="45"/>
      <c r="AL237" s="45"/>
      <c r="AM237" s="45"/>
      <c r="AN237" s="45"/>
      <c r="AO237" s="45"/>
      <c r="AP237" s="45"/>
      <c r="AQ237" s="114"/>
    </row>
    <row r="238" spans="1:43" ht="15.75" customHeight="1">
      <c r="A238" s="44"/>
      <c r="B238" s="45"/>
      <c r="C238" s="45"/>
      <c r="D238" s="45"/>
      <c r="E238" s="45"/>
      <c r="F238" s="45"/>
      <c r="G238" s="45"/>
      <c r="H238" s="45"/>
      <c r="I238" s="45"/>
      <c r="J238" s="45"/>
      <c r="K238" s="45"/>
      <c r="L238" s="45"/>
      <c r="M238" s="45"/>
      <c r="N238" s="45"/>
      <c r="O238" s="45"/>
      <c r="P238" s="45"/>
      <c r="Q238" s="45"/>
      <c r="R238" s="45"/>
      <c r="S238" s="45"/>
      <c r="T238" s="45"/>
      <c r="U238" s="132"/>
      <c r="V238" s="45"/>
      <c r="W238" s="45"/>
      <c r="X238" s="45"/>
      <c r="Y238" s="45"/>
      <c r="Z238" s="45"/>
      <c r="AA238" s="45"/>
      <c r="AB238" s="45"/>
      <c r="AC238" s="45"/>
      <c r="AD238" s="45"/>
      <c r="AE238" s="45"/>
      <c r="AF238" s="45"/>
      <c r="AG238" s="132"/>
      <c r="AH238" s="132"/>
      <c r="AI238" s="45"/>
      <c r="AJ238" s="45"/>
      <c r="AK238" s="45"/>
      <c r="AL238" s="45"/>
      <c r="AM238" s="45"/>
      <c r="AN238" s="45"/>
      <c r="AO238" s="45"/>
      <c r="AP238" s="45"/>
      <c r="AQ238" s="114"/>
    </row>
    <row r="239" spans="1:43" ht="15.75" customHeight="1">
      <c r="A239" s="44"/>
      <c r="B239" s="45"/>
      <c r="C239" s="45"/>
      <c r="D239" s="45"/>
      <c r="E239" s="45"/>
      <c r="F239" s="45"/>
      <c r="G239" s="45"/>
      <c r="H239" s="45"/>
      <c r="I239" s="45"/>
      <c r="J239" s="45"/>
      <c r="K239" s="45"/>
      <c r="L239" s="45"/>
      <c r="M239" s="45"/>
      <c r="N239" s="45"/>
      <c r="O239" s="45"/>
      <c r="P239" s="45"/>
      <c r="Q239" s="45"/>
      <c r="R239" s="45"/>
      <c r="S239" s="45"/>
      <c r="T239" s="45"/>
      <c r="U239" s="132"/>
      <c r="V239" s="45"/>
      <c r="W239" s="45"/>
      <c r="X239" s="45"/>
      <c r="Y239" s="45"/>
      <c r="Z239" s="45"/>
      <c r="AA239" s="45"/>
      <c r="AB239" s="45"/>
      <c r="AC239" s="45"/>
      <c r="AD239" s="45"/>
      <c r="AE239" s="45"/>
      <c r="AF239" s="45"/>
      <c r="AG239" s="132"/>
      <c r="AH239" s="132"/>
      <c r="AI239" s="45"/>
      <c r="AJ239" s="45"/>
      <c r="AK239" s="45"/>
      <c r="AL239" s="45"/>
      <c r="AM239" s="45"/>
      <c r="AN239" s="45"/>
      <c r="AO239" s="45"/>
      <c r="AP239" s="45"/>
      <c r="AQ239" s="114"/>
    </row>
    <row r="240" spans="1:43" ht="15.75" customHeight="1">
      <c r="A240" s="44"/>
      <c r="B240" s="45"/>
      <c r="C240" s="45"/>
      <c r="D240" s="45"/>
      <c r="E240" s="45"/>
      <c r="F240" s="45"/>
      <c r="G240" s="45"/>
      <c r="H240" s="45"/>
      <c r="I240" s="45"/>
      <c r="J240" s="45"/>
      <c r="K240" s="45"/>
      <c r="L240" s="45"/>
      <c r="M240" s="45"/>
      <c r="N240" s="45"/>
      <c r="O240" s="45"/>
      <c r="P240" s="45"/>
      <c r="Q240" s="45"/>
      <c r="R240" s="45"/>
      <c r="S240" s="45"/>
      <c r="T240" s="45"/>
      <c r="U240" s="132"/>
      <c r="V240" s="45"/>
      <c r="W240" s="45"/>
      <c r="X240" s="45"/>
      <c r="Y240" s="45"/>
      <c r="Z240" s="45"/>
      <c r="AA240" s="45"/>
      <c r="AB240" s="45"/>
      <c r="AC240" s="45"/>
      <c r="AD240" s="45"/>
      <c r="AE240" s="45"/>
      <c r="AF240" s="45"/>
      <c r="AG240" s="132"/>
      <c r="AH240" s="132"/>
      <c r="AI240" s="45"/>
      <c r="AJ240" s="45"/>
      <c r="AK240" s="45"/>
      <c r="AL240" s="45"/>
      <c r="AM240" s="45"/>
      <c r="AN240" s="45"/>
      <c r="AO240" s="45"/>
      <c r="AP240" s="45"/>
      <c r="AQ240" s="114"/>
    </row>
    <row r="241" spans="1:43" ht="15.75" customHeight="1">
      <c r="A241" s="44"/>
      <c r="B241" s="45"/>
      <c r="C241" s="45"/>
      <c r="D241" s="45"/>
      <c r="E241" s="45"/>
      <c r="F241" s="45"/>
      <c r="G241" s="45"/>
      <c r="H241" s="45"/>
      <c r="I241" s="45"/>
      <c r="J241" s="45"/>
      <c r="K241" s="45"/>
      <c r="L241" s="45"/>
      <c r="M241" s="45"/>
      <c r="N241" s="45"/>
      <c r="O241" s="45"/>
      <c r="P241" s="45"/>
      <c r="Q241" s="45"/>
      <c r="R241" s="45"/>
      <c r="S241" s="45"/>
      <c r="T241" s="45"/>
      <c r="U241" s="132"/>
      <c r="V241" s="45"/>
      <c r="W241" s="45"/>
      <c r="X241" s="45"/>
      <c r="Y241" s="45"/>
      <c r="Z241" s="45"/>
      <c r="AA241" s="45"/>
      <c r="AB241" s="45"/>
      <c r="AC241" s="45"/>
      <c r="AD241" s="45"/>
      <c r="AE241" s="45"/>
      <c r="AF241" s="45"/>
      <c r="AG241" s="132"/>
      <c r="AH241" s="132"/>
      <c r="AI241" s="45"/>
      <c r="AJ241" s="45"/>
      <c r="AK241" s="45"/>
      <c r="AL241" s="45"/>
      <c r="AM241" s="45"/>
      <c r="AN241" s="45"/>
      <c r="AO241" s="45"/>
      <c r="AP241" s="45"/>
      <c r="AQ241" s="114"/>
    </row>
    <row r="242" spans="1:43" ht="15.75" customHeight="1">
      <c r="A242" s="44"/>
      <c r="B242" s="45"/>
      <c r="C242" s="45"/>
      <c r="D242" s="45"/>
      <c r="E242" s="45"/>
      <c r="F242" s="45"/>
      <c r="G242" s="45"/>
      <c r="H242" s="45"/>
      <c r="I242" s="45"/>
      <c r="J242" s="45"/>
      <c r="K242" s="45"/>
      <c r="L242" s="45"/>
      <c r="M242" s="45"/>
      <c r="N242" s="45"/>
      <c r="O242" s="45"/>
      <c r="P242" s="45"/>
      <c r="Q242" s="45"/>
      <c r="R242" s="45"/>
      <c r="S242" s="45"/>
      <c r="T242" s="45"/>
      <c r="U242" s="132"/>
      <c r="V242" s="45"/>
      <c r="W242" s="45"/>
      <c r="X242" s="45"/>
      <c r="Y242" s="45"/>
      <c r="Z242" s="45"/>
      <c r="AA242" s="45"/>
      <c r="AB242" s="45"/>
      <c r="AC242" s="45"/>
      <c r="AD242" s="45"/>
      <c r="AE242" s="45"/>
      <c r="AF242" s="45"/>
      <c r="AG242" s="132"/>
      <c r="AH242" s="132"/>
      <c r="AI242" s="45"/>
      <c r="AJ242" s="45"/>
      <c r="AK242" s="45"/>
      <c r="AL242" s="45"/>
      <c r="AM242" s="45"/>
      <c r="AN242" s="45"/>
      <c r="AO242" s="45"/>
      <c r="AP242" s="45"/>
      <c r="AQ242" s="114"/>
    </row>
    <row r="243" spans="1:43" ht="15.75" customHeight="1">
      <c r="A243" s="44"/>
      <c r="B243" s="45"/>
      <c r="C243" s="45"/>
      <c r="D243" s="45"/>
      <c r="E243" s="45"/>
      <c r="F243" s="45"/>
      <c r="G243" s="45"/>
      <c r="H243" s="45"/>
      <c r="I243" s="45"/>
      <c r="J243" s="45"/>
      <c r="K243" s="45"/>
      <c r="L243" s="45"/>
      <c r="M243" s="45"/>
      <c r="N243" s="45"/>
      <c r="O243" s="45"/>
      <c r="P243" s="45"/>
      <c r="Q243" s="45"/>
      <c r="R243" s="45"/>
      <c r="S243" s="45"/>
      <c r="T243" s="45"/>
      <c r="U243" s="132"/>
      <c r="V243" s="45"/>
      <c r="W243" s="45"/>
      <c r="X243" s="45"/>
      <c r="Y243" s="45"/>
      <c r="Z243" s="45"/>
      <c r="AA243" s="45"/>
      <c r="AB243" s="45"/>
      <c r="AC243" s="45"/>
      <c r="AD243" s="45"/>
      <c r="AE243" s="45"/>
      <c r="AF243" s="45"/>
      <c r="AG243" s="132"/>
      <c r="AH243" s="132"/>
      <c r="AI243" s="45"/>
      <c r="AJ243" s="45"/>
      <c r="AK243" s="45"/>
      <c r="AL243" s="45"/>
      <c r="AM243" s="45"/>
      <c r="AN243" s="45"/>
      <c r="AO243" s="45"/>
      <c r="AP243" s="45"/>
      <c r="AQ243" s="114"/>
    </row>
    <row r="244" spans="1:43" ht="15.75" customHeight="1">
      <c r="A244" s="44"/>
      <c r="B244" s="45"/>
      <c r="C244" s="45"/>
      <c r="D244" s="45"/>
      <c r="E244" s="45"/>
      <c r="F244" s="45"/>
      <c r="G244" s="45"/>
      <c r="H244" s="45"/>
      <c r="I244" s="45"/>
      <c r="J244" s="45"/>
      <c r="K244" s="45"/>
      <c r="L244" s="45"/>
      <c r="M244" s="45"/>
      <c r="N244" s="45"/>
      <c r="O244" s="45"/>
      <c r="P244" s="45"/>
      <c r="Q244" s="45"/>
      <c r="R244" s="45"/>
      <c r="S244" s="45"/>
      <c r="T244" s="45"/>
      <c r="U244" s="132"/>
      <c r="V244" s="45"/>
      <c r="W244" s="45"/>
      <c r="X244" s="45"/>
      <c r="Y244" s="45"/>
      <c r="Z244" s="45"/>
      <c r="AA244" s="45"/>
      <c r="AB244" s="45"/>
      <c r="AC244" s="45"/>
      <c r="AD244" s="45"/>
      <c r="AE244" s="45"/>
      <c r="AF244" s="45"/>
      <c r="AG244" s="132"/>
      <c r="AH244" s="132"/>
      <c r="AI244" s="45"/>
      <c r="AJ244" s="45"/>
      <c r="AK244" s="45"/>
      <c r="AL244" s="45"/>
      <c r="AM244" s="45"/>
      <c r="AN244" s="45"/>
      <c r="AO244" s="45"/>
      <c r="AP244" s="45"/>
      <c r="AQ244" s="114"/>
    </row>
    <row r="245" spans="1:43" ht="15.75" customHeight="1">
      <c r="A245" s="44"/>
      <c r="B245" s="45"/>
      <c r="C245" s="45"/>
      <c r="D245" s="45"/>
      <c r="E245" s="45"/>
      <c r="F245" s="45"/>
      <c r="G245" s="45"/>
      <c r="H245" s="45"/>
      <c r="I245" s="45"/>
      <c r="J245" s="45"/>
      <c r="K245" s="45"/>
      <c r="L245" s="45"/>
      <c r="M245" s="45"/>
      <c r="N245" s="45"/>
      <c r="O245" s="45"/>
      <c r="P245" s="45"/>
      <c r="Q245" s="45"/>
      <c r="R245" s="45"/>
      <c r="S245" s="45"/>
      <c r="T245" s="45"/>
      <c r="U245" s="132"/>
      <c r="V245" s="45"/>
      <c r="W245" s="45"/>
      <c r="X245" s="45"/>
      <c r="Y245" s="45"/>
      <c r="Z245" s="45"/>
      <c r="AA245" s="45"/>
      <c r="AB245" s="45"/>
      <c r="AC245" s="45"/>
      <c r="AD245" s="45"/>
      <c r="AE245" s="45"/>
      <c r="AF245" s="45"/>
      <c r="AG245" s="132"/>
      <c r="AH245" s="132"/>
      <c r="AI245" s="45"/>
      <c r="AJ245" s="45"/>
      <c r="AK245" s="45"/>
      <c r="AL245" s="45"/>
      <c r="AM245" s="45"/>
      <c r="AN245" s="45"/>
      <c r="AO245" s="45"/>
      <c r="AP245" s="45"/>
      <c r="AQ245" s="114"/>
    </row>
    <row r="246" spans="1:43" ht="15.75" customHeight="1">
      <c r="A246" s="44"/>
      <c r="B246" s="45"/>
      <c r="C246" s="45"/>
      <c r="D246" s="45"/>
      <c r="E246" s="45"/>
      <c r="F246" s="45"/>
      <c r="G246" s="45"/>
      <c r="H246" s="45"/>
      <c r="I246" s="45"/>
      <c r="J246" s="45"/>
      <c r="K246" s="45"/>
      <c r="L246" s="45"/>
      <c r="M246" s="45"/>
      <c r="N246" s="45"/>
      <c r="O246" s="45"/>
      <c r="P246" s="45"/>
      <c r="Q246" s="45"/>
      <c r="R246" s="45"/>
      <c r="S246" s="45"/>
      <c r="T246" s="45"/>
      <c r="U246" s="132"/>
      <c r="V246" s="45"/>
      <c r="W246" s="45"/>
      <c r="X246" s="45"/>
      <c r="Y246" s="45"/>
      <c r="Z246" s="45"/>
      <c r="AA246" s="45"/>
      <c r="AB246" s="45"/>
      <c r="AC246" s="45"/>
      <c r="AD246" s="45"/>
      <c r="AE246" s="45"/>
      <c r="AF246" s="45"/>
      <c r="AG246" s="132"/>
      <c r="AH246" s="132"/>
      <c r="AI246" s="45"/>
      <c r="AJ246" s="45"/>
      <c r="AK246" s="45"/>
      <c r="AL246" s="45"/>
      <c r="AM246" s="45"/>
      <c r="AN246" s="45"/>
      <c r="AO246" s="45"/>
      <c r="AP246" s="45"/>
      <c r="AQ246" s="114"/>
    </row>
    <row r="247" spans="1:43" ht="15.75" customHeight="1">
      <c r="A247" s="44"/>
      <c r="B247" s="45"/>
      <c r="C247" s="45"/>
      <c r="D247" s="45"/>
      <c r="E247" s="45"/>
      <c r="F247" s="45"/>
      <c r="G247" s="45"/>
      <c r="H247" s="45"/>
      <c r="I247" s="45"/>
      <c r="J247" s="45"/>
      <c r="K247" s="45"/>
      <c r="L247" s="45"/>
      <c r="M247" s="45"/>
      <c r="N247" s="45"/>
      <c r="O247" s="45"/>
      <c r="P247" s="45"/>
      <c r="Q247" s="45"/>
      <c r="R247" s="45"/>
      <c r="S247" s="45"/>
      <c r="T247" s="45"/>
      <c r="U247" s="132"/>
      <c r="V247" s="45"/>
      <c r="W247" s="45"/>
      <c r="X247" s="45"/>
      <c r="Y247" s="45"/>
      <c r="Z247" s="45"/>
      <c r="AA247" s="45"/>
      <c r="AB247" s="45"/>
      <c r="AC247" s="45"/>
      <c r="AD247" s="45"/>
      <c r="AE247" s="45"/>
      <c r="AF247" s="45"/>
      <c r="AG247" s="132"/>
      <c r="AH247" s="132"/>
      <c r="AI247" s="45"/>
      <c r="AJ247" s="45"/>
      <c r="AK247" s="45"/>
      <c r="AL247" s="45"/>
      <c r="AM247" s="45"/>
      <c r="AN247" s="45"/>
      <c r="AO247" s="45"/>
      <c r="AP247" s="45"/>
      <c r="AQ247" s="114"/>
    </row>
    <row r="248" spans="1:43" ht="15.75" customHeight="1">
      <c r="A248" s="44"/>
      <c r="B248" s="45"/>
      <c r="C248" s="45"/>
      <c r="D248" s="45"/>
      <c r="E248" s="45"/>
      <c r="F248" s="45"/>
      <c r="G248" s="45"/>
      <c r="H248" s="45"/>
      <c r="I248" s="45"/>
      <c r="J248" s="45"/>
      <c r="K248" s="45"/>
      <c r="L248" s="45"/>
      <c r="M248" s="45"/>
      <c r="N248" s="45"/>
      <c r="O248" s="45"/>
      <c r="P248" s="45"/>
      <c r="Q248" s="45"/>
      <c r="R248" s="45"/>
      <c r="S248" s="45"/>
      <c r="T248" s="45"/>
      <c r="U248" s="132"/>
      <c r="V248" s="45"/>
      <c r="W248" s="45"/>
      <c r="X248" s="45"/>
      <c r="Y248" s="45"/>
      <c r="Z248" s="45"/>
      <c r="AA248" s="45"/>
      <c r="AB248" s="45"/>
      <c r="AC248" s="45"/>
      <c r="AD248" s="45"/>
      <c r="AE248" s="45"/>
      <c r="AF248" s="45"/>
      <c r="AG248" s="132"/>
      <c r="AH248" s="132"/>
      <c r="AI248" s="45"/>
      <c r="AJ248" s="45"/>
      <c r="AK248" s="45"/>
      <c r="AL248" s="45"/>
      <c r="AM248" s="45"/>
      <c r="AN248" s="45"/>
      <c r="AO248" s="45"/>
      <c r="AP248" s="45"/>
      <c r="AQ248" s="114"/>
    </row>
    <row r="249" spans="1:43" ht="15.75" customHeight="1">
      <c r="A249" s="44"/>
      <c r="B249" s="45"/>
      <c r="C249" s="45"/>
      <c r="D249" s="45"/>
      <c r="E249" s="45"/>
      <c r="F249" s="45"/>
      <c r="G249" s="45"/>
      <c r="H249" s="45"/>
      <c r="I249" s="45"/>
      <c r="J249" s="45"/>
      <c r="K249" s="45"/>
      <c r="L249" s="45"/>
      <c r="M249" s="45"/>
      <c r="N249" s="45"/>
      <c r="O249" s="45"/>
      <c r="P249" s="45"/>
      <c r="Q249" s="45"/>
      <c r="R249" s="45"/>
      <c r="S249" s="45"/>
      <c r="T249" s="45"/>
      <c r="U249" s="132"/>
      <c r="V249" s="45"/>
      <c r="W249" s="45"/>
      <c r="X249" s="45"/>
      <c r="Y249" s="45"/>
      <c r="Z249" s="45"/>
      <c r="AA249" s="45"/>
      <c r="AB249" s="45"/>
      <c r="AC249" s="45"/>
      <c r="AD249" s="45"/>
      <c r="AE249" s="45"/>
      <c r="AF249" s="45"/>
      <c r="AG249" s="132"/>
      <c r="AH249" s="132"/>
      <c r="AI249" s="45"/>
      <c r="AJ249" s="45"/>
      <c r="AK249" s="45"/>
      <c r="AL249" s="45"/>
      <c r="AM249" s="45"/>
      <c r="AN249" s="45"/>
      <c r="AO249" s="45"/>
      <c r="AP249" s="45"/>
      <c r="AQ249" s="114"/>
    </row>
    <row r="250" spans="1:43" ht="15.75" customHeight="1">
      <c r="A250" s="44"/>
      <c r="B250" s="45"/>
      <c r="C250" s="45"/>
      <c r="D250" s="45"/>
      <c r="E250" s="45"/>
      <c r="F250" s="45"/>
      <c r="G250" s="45"/>
      <c r="H250" s="45"/>
      <c r="I250" s="45"/>
      <c r="J250" s="45"/>
      <c r="K250" s="45"/>
      <c r="L250" s="45"/>
      <c r="M250" s="45"/>
      <c r="N250" s="45"/>
      <c r="O250" s="45"/>
      <c r="P250" s="45"/>
      <c r="Q250" s="45"/>
      <c r="R250" s="45"/>
      <c r="S250" s="45"/>
      <c r="T250" s="45"/>
      <c r="U250" s="132"/>
      <c r="V250" s="45"/>
      <c r="W250" s="45"/>
      <c r="X250" s="45"/>
      <c r="Y250" s="45"/>
      <c r="Z250" s="45"/>
      <c r="AA250" s="45"/>
      <c r="AB250" s="45"/>
      <c r="AC250" s="45"/>
      <c r="AD250" s="45"/>
      <c r="AE250" s="45"/>
      <c r="AF250" s="45"/>
      <c r="AG250" s="132"/>
      <c r="AH250" s="132"/>
      <c r="AI250" s="45"/>
      <c r="AJ250" s="45"/>
      <c r="AK250" s="45"/>
      <c r="AL250" s="45"/>
      <c r="AM250" s="45"/>
      <c r="AN250" s="45"/>
      <c r="AO250" s="45"/>
      <c r="AP250" s="45"/>
      <c r="AQ250" s="114"/>
    </row>
    <row r="251" spans="1:43" ht="15.75" customHeight="1">
      <c r="A251" s="44"/>
      <c r="B251" s="45"/>
      <c r="C251" s="45"/>
      <c r="D251" s="45"/>
      <c r="E251" s="45"/>
      <c r="F251" s="45"/>
      <c r="G251" s="45"/>
      <c r="H251" s="45"/>
      <c r="I251" s="45"/>
      <c r="J251" s="45"/>
      <c r="K251" s="45"/>
      <c r="L251" s="45"/>
      <c r="M251" s="45"/>
      <c r="N251" s="45"/>
      <c r="O251" s="45"/>
      <c r="P251" s="45"/>
      <c r="Q251" s="45"/>
      <c r="R251" s="45"/>
      <c r="S251" s="45"/>
      <c r="T251" s="45"/>
      <c r="U251" s="132"/>
      <c r="V251" s="45"/>
      <c r="W251" s="45"/>
      <c r="X251" s="45"/>
      <c r="Y251" s="45"/>
      <c r="Z251" s="45"/>
      <c r="AA251" s="45"/>
      <c r="AB251" s="45"/>
      <c r="AC251" s="45"/>
      <c r="AD251" s="45"/>
      <c r="AE251" s="45"/>
      <c r="AF251" s="45"/>
      <c r="AG251" s="132"/>
      <c r="AH251" s="132"/>
      <c r="AI251" s="45"/>
      <c r="AJ251" s="45"/>
      <c r="AK251" s="45"/>
      <c r="AL251" s="45"/>
      <c r="AM251" s="45"/>
      <c r="AN251" s="45"/>
      <c r="AO251" s="45"/>
      <c r="AP251" s="45"/>
      <c r="AQ251" s="114"/>
    </row>
    <row r="252" spans="1:43" ht="15.75" customHeight="1"/>
    <row r="253" spans="1:43" ht="15.75" customHeight="1"/>
    <row r="254" spans="1:43" ht="15.75" customHeight="1"/>
    <row r="255" spans="1:43" ht="15.75" customHeight="1"/>
    <row r="256" spans="1:43"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M1:AQ1"/>
    <mergeCell ref="C1:F1"/>
    <mergeCell ref="G1:T1"/>
    <mergeCell ref="V1:AF1"/>
    <mergeCell ref="AG1:AH1"/>
    <mergeCell ref="AI1:AL1"/>
  </mergeCells>
  <hyperlinks>
    <hyperlink ref="A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B100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2.6640625" defaultRowHeight="15" customHeight="1"/>
  <sheetData>
    <row r="1" spans="1:28" ht="15.75" customHeight="1">
      <c r="A1" s="156"/>
      <c r="B1" s="156"/>
      <c r="C1" s="234" t="s">
        <v>133</v>
      </c>
      <c r="D1" s="212"/>
      <c r="E1" s="212"/>
      <c r="F1" s="212"/>
      <c r="G1" s="212"/>
      <c r="H1" s="212"/>
      <c r="I1" s="212"/>
    </row>
    <row r="2" spans="1:28" ht="38.25" customHeight="1">
      <c r="A2" s="157" t="s">
        <v>31</v>
      </c>
      <c r="B2" s="157" t="s">
        <v>99</v>
      </c>
      <c r="C2" s="158" t="s">
        <v>184</v>
      </c>
      <c r="D2" s="158" t="s">
        <v>185</v>
      </c>
      <c r="E2" s="159" t="s">
        <v>186</v>
      </c>
      <c r="F2" s="158" t="s">
        <v>187</v>
      </c>
      <c r="G2" s="158" t="s">
        <v>188</v>
      </c>
      <c r="H2" s="158" t="s">
        <v>189</v>
      </c>
      <c r="I2" s="158" t="s">
        <v>190</v>
      </c>
      <c r="J2" s="160" t="s">
        <v>191</v>
      </c>
      <c r="K2" s="161"/>
      <c r="L2" s="161"/>
      <c r="M2" s="161"/>
      <c r="N2" s="161"/>
      <c r="O2" s="161"/>
      <c r="P2" s="161"/>
      <c r="Q2" s="161"/>
      <c r="R2" s="161"/>
      <c r="S2" s="161"/>
      <c r="T2" s="161"/>
      <c r="U2" s="161"/>
      <c r="V2" s="161"/>
      <c r="W2" s="161"/>
      <c r="X2" s="161"/>
      <c r="Y2" s="161"/>
      <c r="Z2" s="161"/>
      <c r="AA2" s="161"/>
      <c r="AB2" s="161"/>
    </row>
    <row r="3" spans="1:28" ht="15.75" customHeight="1">
      <c r="A3" s="134" t="s">
        <v>192</v>
      </c>
      <c r="B3" s="162" t="s">
        <v>40</v>
      </c>
      <c r="C3" s="7">
        <v>347</v>
      </c>
      <c r="D3" s="7">
        <v>696</v>
      </c>
      <c r="E3" s="7">
        <v>7</v>
      </c>
      <c r="F3" s="7">
        <v>28</v>
      </c>
      <c r="G3" s="7">
        <v>67</v>
      </c>
      <c r="H3" s="7">
        <v>21</v>
      </c>
      <c r="I3" s="7">
        <v>21</v>
      </c>
      <c r="J3" s="47">
        <f t="shared" ref="J3:J53" si="0">D3/(C3+SUM(E3:I3))</f>
        <v>1.4175152749490836</v>
      </c>
    </row>
    <row r="4" spans="1:28" ht="15.75" customHeight="1">
      <c r="A4" s="134" t="s">
        <v>193</v>
      </c>
      <c r="B4" s="162" t="s">
        <v>194</v>
      </c>
      <c r="C4" s="7">
        <v>4</v>
      </c>
      <c r="D4" s="7">
        <v>8</v>
      </c>
      <c r="E4" s="7">
        <v>0</v>
      </c>
      <c r="F4" s="7">
        <v>0</v>
      </c>
      <c r="G4" s="7">
        <v>1</v>
      </c>
      <c r="H4" s="7">
        <v>0</v>
      </c>
      <c r="I4" s="7">
        <v>0</v>
      </c>
      <c r="J4" s="47">
        <f t="shared" si="0"/>
        <v>1.6</v>
      </c>
    </row>
    <row r="5" spans="1:28" ht="15.75" customHeight="1">
      <c r="A5" s="134" t="s">
        <v>195</v>
      </c>
      <c r="B5" s="162" t="s">
        <v>42</v>
      </c>
      <c r="C5" s="7">
        <v>97</v>
      </c>
      <c r="D5" s="7">
        <v>194</v>
      </c>
      <c r="E5" s="7">
        <v>270</v>
      </c>
      <c r="F5" s="7">
        <v>6</v>
      </c>
      <c r="G5" s="7">
        <v>14</v>
      </c>
      <c r="H5" s="7">
        <v>126</v>
      </c>
      <c r="I5" s="7">
        <v>7</v>
      </c>
      <c r="J5" s="47">
        <f t="shared" si="0"/>
        <v>0.37307692307692308</v>
      </c>
    </row>
    <row r="6" spans="1:28" ht="15.75" customHeight="1">
      <c r="A6" s="134" t="s">
        <v>196</v>
      </c>
      <c r="B6" s="162" t="s">
        <v>41</v>
      </c>
      <c r="C6" s="7">
        <v>456</v>
      </c>
      <c r="D6" s="7">
        <v>915</v>
      </c>
      <c r="E6" s="7">
        <v>14</v>
      </c>
      <c r="F6" s="7">
        <v>35</v>
      </c>
      <c r="G6" s="7">
        <v>84</v>
      </c>
      <c r="H6" s="7">
        <v>53</v>
      </c>
      <c r="I6" s="7">
        <v>33</v>
      </c>
      <c r="J6" s="47">
        <f t="shared" si="0"/>
        <v>1.3555555555555556</v>
      </c>
    </row>
    <row r="7" spans="1:28" ht="15.75" customHeight="1">
      <c r="A7" s="134" t="s">
        <v>197</v>
      </c>
      <c r="B7" s="162" t="s">
        <v>37</v>
      </c>
      <c r="C7" s="7">
        <v>327</v>
      </c>
      <c r="D7" s="7">
        <v>655</v>
      </c>
      <c r="E7" s="7">
        <v>551</v>
      </c>
      <c r="F7" s="7">
        <v>28</v>
      </c>
      <c r="G7" s="7">
        <v>67</v>
      </c>
      <c r="H7" s="7">
        <v>285</v>
      </c>
      <c r="I7" s="7">
        <v>98</v>
      </c>
      <c r="J7" s="47">
        <f t="shared" si="0"/>
        <v>0.48303834808259588</v>
      </c>
    </row>
    <row r="8" spans="1:28" ht="15.75" customHeight="1">
      <c r="A8" s="134" t="s">
        <v>198</v>
      </c>
      <c r="B8" s="162" t="s">
        <v>43</v>
      </c>
      <c r="C8" s="7">
        <v>385</v>
      </c>
      <c r="D8" s="7">
        <v>771</v>
      </c>
      <c r="E8" s="7">
        <v>1130</v>
      </c>
      <c r="F8" s="7">
        <v>36</v>
      </c>
      <c r="G8" s="7">
        <v>87</v>
      </c>
      <c r="H8" s="7">
        <v>358</v>
      </c>
      <c r="I8" s="7">
        <v>266</v>
      </c>
      <c r="J8" s="47">
        <f t="shared" si="0"/>
        <v>0.34084880636604775</v>
      </c>
    </row>
    <row r="9" spans="1:28" ht="15.75" customHeight="1">
      <c r="A9" s="134" t="s">
        <v>199</v>
      </c>
      <c r="B9" s="162" t="s">
        <v>44</v>
      </c>
      <c r="C9" s="7">
        <v>3</v>
      </c>
      <c r="D9" s="7">
        <v>6</v>
      </c>
      <c r="E9" s="7">
        <v>0</v>
      </c>
      <c r="F9" s="7">
        <v>0</v>
      </c>
      <c r="G9" s="7">
        <v>1</v>
      </c>
      <c r="H9" s="7">
        <v>1</v>
      </c>
      <c r="I9" s="7">
        <v>1</v>
      </c>
      <c r="J9" s="47">
        <f t="shared" si="0"/>
        <v>1</v>
      </c>
    </row>
    <row r="10" spans="1:28" ht="15.75" customHeight="1">
      <c r="A10" s="134" t="s">
        <v>200</v>
      </c>
      <c r="B10" s="162" t="s">
        <v>45</v>
      </c>
      <c r="C10" s="7">
        <v>1</v>
      </c>
      <c r="D10" s="7">
        <v>2</v>
      </c>
      <c r="E10" s="7">
        <v>0</v>
      </c>
      <c r="F10" s="7">
        <v>0</v>
      </c>
      <c r="G10" s="7">
        <v>0</v>
      </c>
      <c r="H10" s="7">
        <v>1</v>
      </c>
      <c r="I10" s="7">
        <v>0</v>
      </c>
      <c r="J10" s="47">
        <f t="shared" si="0"/>
        <v>1</v>
      </c>
    </row>
    <row r="11" spans="1:28" ht="15.75" customHeight="1">
      <c r="A11" s="134" t="s">
        <v>201</v>
      </c>
      <c r="B11" s="162" t="s">
        <v>46</v>
      </c>
      <c r="C11" s="7">
        <v>451</v>
      </c>
      <c r="D11" s="7">
        <v>904</v>
      </c>
      <c r="E11" s="7">
        <v>4</v>
      </c>
      <c r="F11" s="7">
        <v>31</v>
      </c>
      <c r="G11" s="7">
        <v>73</v>
      </c>
      <c r="H11" s="7">
        <v>11</v>
      </c>
      <c r="I11" s="7">
        <v>12</v>
      </c>
      <c r="J11" s="47">
        <f t="shared" si="0"/>
        <v>1.5532646048109966</v>
      </c>
    </row>
    <row r="12" spans="1:28" ht="15.75" customHeight="1">
      <c r="A12" s="134" t="s">
        <v>202</v>
      </c>
      <c r="B12" s="162" t="s">
        <v>47</v>
      </c>
      <c r="C12" s="7">
        <v>259</v>
      </c>
      <c r="D12" s="7">
        <v>519</v>
      </c>
      <c r="E12" s="7">
        <v>5</v>
      </c>
      <c r="F12" s="7">
        <v>21</v>
      </c>
      <c r="G12" s="7">
        <v>50</v>
      </c>
      <c r="H12" s="7">
        <v>20</v>
      </c>
      <c r="I12" s="7">
        <v>14</v>
      </c>
      <c r="J12" s="47">
        <f t="shared" si="0"/>
        <v>1.4065040650406504</v>
      </c>
    </row>
    <row r="13" spans="1:28" ht="15.75" customHeight="1">
      <c r="A13" s="134" t="s">
        <v>203</v>
      </c>
      <c r="B13" s="162" t="s">
        <v>204</v>
      </c>
      <c r="C13" s="7">
        <v>38</v>
      </c>
      <c r="D13" s="7">
        <v>75</v>
      </c>
      <c r="E13" s="7">
        <v>1</v>
      </c>
      <c r="F13" s="7">
        <v>3</v>
      </c>
      <c r="G13" s="7">
        <v>6</v>
      </c>
      <c r="H13" s="7">
        <v>5</v>
      </c>
      <c r="I13" s="7">
        <v>2</v>
      </c>
      <c r="J13" s="47">
        <f t="shared" si="0"/>
        <v>1.3636363636363635</v>
      </c>
    </row>
    <row r="14" spans="1:28" ht="15.75" customHeight="1">
      <c r="A14" s="134" t="s">
        <v>205</v>
      </c>
      <c r="B14" s="162" t="s">
        <v>49</v>
      </c>
      <c r="C14" s="7">
        <v>244</v>
      </c>
      <c r="D14" s="7">
        <v>490</v>
      </c>
      <c r="E14" s="7">
        <v>314</v>
      </c>
      <c r="F14" s="7">
        <v>31</v>
      </c>
      <c r="G14" s="7">
        <v>73</v>
      </c>
      <c r="H14" s="7">
        <v>138</v>
      </c>
      <c r="I14" s="7">
        <v>93</v>
      </c>
      <c r="J14" s="47">
        <f t="shared" si="0"/>
        <v>0.54871220604703252</v>
      </c>
    </row>
    <row r="15" spans="1:28" ht="15.75" customHeight="1">
      <c r="A15" s="134" t="s">
        <v>206</v>
      </c>
      <c r="B15" s="162" t="s">
        <v>50</v>
      </c>
      <c r="C15" s="7">
        <v>189</v>
      </c>
      <c r="D15" s="7">
        <v>378</v>
      </c>
      <c r="E15" s="7">
        <v>248</v>
      </c>
      <c r="F15" s="7">
        <v>14</v>
      </c>
      <c r="G15" s="7">
        <v>34</v>
      </c>
      <c r="H15" s="7">
        <v>110</v>
      </c>
      <c r="I15" s="7">
        <v>42</v>
      </c>
      <c r="J15" s="47">
        <f t="shared" si="0"/>
        <v>0.59340659340659341</v>
      </c>
    </row>
    <row r="16" spans="1:28" ht="15.75" customHeight="1">
      <c r="A16" s="134" t="s">
        <v>207</v>
      </c>
      <c r="B16" s="162" t="s">
        <v>51</v>
      </c>
      <c r="C16" s="7">
        <v>97</v>
      </c>
      <c r="D16" s="7">
        <v>194</v>
      </c>
      <c r="E16" s="7">
        <v>106</v>
      </c>
      <c r="F16" s="7">
        <v>10</v>
      </c>
      <c r="G16" s="7">
        <v>23</v>
      </c>
      <c r="H16" s="7">
        <v>50</v>
      </c>
      <c r="I16" s="7">
        <v>21</v>
      </c>
      <c r="J16" s="47">
        <f t="shared" si="0"/>
        <v>0.63192182410423448</v>
      </c>
    </row>
    <row r="17" spans="1:10" ht="15.75" customHeight="1">
      <c r="A17" s="134" t="s">
        <v>208</v>
      </c>
      <c r="B17" s="162" t="s">
        <v>48</v>
      </c>
      <c r="C17" s="7">
        <v>452</v>
      </c>
      <c r="D17" s="7">
        <v>905</v>
      </c>
      <c r="E17" s="7">
        <v>1327</v>
      </c>
      <c r="F17" s="7">
        <v>34</v>
      </c>
      <c r="G17" s="7">
        <v>81</v>
      </c>
      <c r="H17" s="7">
        <v>597</v>
      </c>
      <c r="I17" s="7">
        <v>280</v>
      </c>
      <c r="J17" s="47">
        <f t="shared" si="0"/>
        <v>0.32659689642728257</v>
      </c>
    </row>
    <row r="18" spans="1:10" ht="15.75" customHeight="1">
      <c r="A18" s="134" t="s">
        <v>209</v>
      </c>
      <c r="B18" s="162" t="s">
        <v>52</v>
      </c>
      <c r="C18" s="7">
        <v>720</v>
      </c>
      <c r="D18" s="7">
        <v>1443</v>
      </c>
      <c r="E18" s="7">
        <v>2607</v>
      </c>
      <c r="F18" s="7">
        <v>59</v>
      </c>
      <c r="G18" s="7">
        <v>140</v>
      </c>
      <c r="H18" s="7">
        <v>956</v>
      </c>
      <c r="I18" s="7">
        <v>723</v>
      </c>
      <c r="J18" s="47">
        <f t="shared" si="0"/>
        <v>0.27723342939481266</v>
      </c>
    </row>
    <row r="19" spans="1:10" ht="15.75" customHeight="1">
      <c r="A19" s="134" t="s">
        <v>210</v>
      </c>
      <c r="B19" s="162" t="s">
        <v>53</v>
      </c>
      <c r="C19" s="7">
        <v>509</v>
      </c>
      <c r="D19" s="7">
        <v>1021</v>
      </c>
      <c r="E19" s="7">
        <v>17</v>
      </c>
      <c r="F19" s="7">
        <v>29</v>
      </c>
      <c r="G19" s="7">
        <v>70</v>
      </c>
      <c r="H19" s="7">
        <v>99</v>
      </c>
      <c r="I19" s="7">
        <v>51</v>
      </c>
      <c r="J19" s="47">
        <f t="shared" si="0"/>
        <v>1.3174193548387096</v>
      </c>
    </row>
    <row r="20" spans="1:10" ht="15.75" customHeight="1">
      <c r="A20" s="134" t="s">
        <v>211</v>
      </c>
      <c r="B20" s="162" t="s">
        <v>54</v>
      </c>
      <c r="C20" s="7">
        <v>227</v>
      </c>
      <c r="D20" s="7">
        <v>455</v>
      </c>
      <c r="E20" s="7">
        <v>3</v>
      </c>
      <c r="F20" s="7">
        <v>19</v>
      </c>
      <c r="G20" s="7">
        <v>46</v>
      </c>
      <c r="H20" s="7">
        <v>11</v>
      </c>
      <c r="I20" s="7">
        <v>9</v>
      </c>
      <c r="J20" s="47">
        <f t="shared" si="0"/>
        <v>1.4444444444444444</v>
      </c>
    </row>
    <row r="21" spans="1:10" ht="15.75" customHeight="1">
      <c r="A21" s="134" t="s">
        <v>212</v>
      </c>
      <c r="B21" s="162" t="s">
        <v>57</v>
      </c>
      <c r="C21" s="7">
        <v>5</v>
      </c>
      <c r="D21" s="7">
        <v>11</v>
      </c>
      <c r="E21" s="7">
        <v>1</v>
      </c>
      <c r="F21" s="7">
        <v>1</v>
      </c>
      <c r="G21" s="7">
        <v>2</v>
      </c>
      <c r="H21" s="7">
        <v>2</v>
      </c>
      <c r="I21" s="7">
        <v>2</v>
      </c>
      <c r="J21" s="47">
        <f t="shared" si="0"/>
        <v>0.84615384615384615</v>
      </c>
    </row>
    <row r="22" spans="1:10" ht="15.75" customHeight="1">
      <c r="A22" s="134" t="s">
        <v>213</v>
      </c>
      <c r="B22" s="162" t="s">
        <v>56</v>
      </c>
      <c r="C22" s="7">
        <v>23</v>
      </c>
      <c r="D22" s="7">
        <v>47</v>
      </c>
      <c r="E22" s="7">
        <v>7</v>
      </c>
      <c r="F22" s="7">
        <v>3</v>
      </c>
      <c r="G22" s="7">
        <v>6</v>
      </c>
      <c r="H22" s="7">
        <v>5</v>
      </c>
      <c r="I22" s="7">
        <v>4</v>
      </c>
      <c r="J22" s="47">
        <f t="shared" si="0"/>
        <v>0.97916666666666663</v>
      </c>
    </row>
    <row r="23" spans="1:10" ht="15.75" customHeight="1">
      <c r="A23" s="134" t="s">
        <v>214</v>
      </c>
      <c r="B23" s="162" t="s">
        <v>55</v>
      </c>
      <c r="C23" s="7">
        <v>3</v>
      </c>
      <c r="D23" s="7">
        <v>6</v>
      </c>
      <c r="E23" s="7">
        <v>0</v>
      </c>
      <c r="F23" s="7">
        <v>0</v>
      </c>
      <c r="G23" s="7">
        <v>1</v>
      </c>
      <c r="H23" s="7">
        <v>1</v>
      </c>
      <c r="I23" s="7">
        <v>0</v>
      </c>
      <c r="J23" s="47">
        <f t="shared" si="0"/>
        <v>1.2</v>
      </c>
    </row>
    <row r="24" spans="1:10" ht="15.75" customHeight="1">
      <c r="A24" s="134" t="s">
        <v>215</v>
      </c>
      <c r="B24" s="162" t="s">
        <v>58</v>
      </c>
      <c r="C24" s="7">
        <v>46</v>
      </c>
      <c r="D24" s="7">
        <v>93</v>
      </c>
      <c r="E24" s="7">
        <v>165</v>
      </c>
      <c r="F24" s="7">
        <v>5</v>
      </c>
      <c r="G24" s="7">
        <v>13</v>
      </c>
      <c r="H24" s="7">
        <v>80</v>
      </c>
      <c r="I24" s="7">
        <v>15</v>
      </c>
      <c r="J24" s="47">
        <f t="shared" si="0"/>
        <v>0.28703703703703703</v>
      </c>
    </row>
    <row r="25" spans="1:10" ht="15.75" customHeight="1">
      <c r="A25" s="134" t="s">
        <v>216</v>
      </c>
      <c r="B25" s="162" t="s">
        <v>38</v>
      </c>
      <c r="C25" s="7">
        <v>182</v>
      </c>
      <c r="D25" s="7">
        <v>365</v>
      </c>
      <c r="E25" s="7">
        <v>412</v>
      </c>
      <c r="F25" s="7">
        <v>22</v>
      </c>
      <c r="G25" s="7">
        <v>53</v>
      </c>
      <c r="H25" s="7">
        <v>239</v>
      </c>
      <c r="I25" s="7">
        <v>75</v>
      </c>
      <c r="J25" s="47">
        <f t="shared" si="0"/>
        <v>0.37131230925737541</v>
      </c>
    </row>
    <row r="26" spans="1:10" ht="15.75" customHeight="1">
      <c r="A26" s="134" t="s">
        <v>217</v>
      </c>
      <c r="B26" s="162" t="s">
        <v>60</v>
      </c>
      <c r="C26" s="7">
        <v>240</v>
      </c>
      <c r="D26" s="7">
        <v>482</v>
      </c>
      <c r="E26" s="7">
        <v>7</v>
      </c>
      <c r="F26" s="7">
        <v>21</v>
      </c>
      <c r="G26" s="7">
        <v>50</v>
      </c>
      <c r="H26" s="7">
        <v>27</v>
      </c>
      <c r="I26" s="7">
        <v>20</v>
      </c>
      <c r="J26" s="47">
        <f t="shared" si="0"/>
        <v>1.3205479452054794</v>
      </c>
    </row>
    <row r="27" spans="1:10" ht="15.75" customHeight="1">
      <c r="A27" s="134" t="s">
        <v>218</v>
      </c>
      <c r="B27" s="162" t="s">
        <v>59</v>
      </c>
      <c r="C27" s="7">
        <v>1039</v>
      </c>
      <c r="D27" s="7">
        <v>2083</v>
      </c>
      <c r="E27" s="7">
        <v>110</v>
      </c>
      <c r="F27" s="7">
        <v>79</v>
      </c>
      <c r="G27" s="7">
        <v>188</v>
      </c>
      <c r="H27" s="7">
        <v>188</v>
      </c>
      <c r="I27" s="7">
        <v>103</v>
      </c>
      <c r="J27" s="47">
        <f t="shared" si="0"/>
        <v>1.2202694786174575</v>
      </c>
    </row>
    <row r="28" spans="1:10" ht="15.75" customHeight="1">
      <c r="A28" s="134" t="s">
        <v>219</v>
      </c>
      <c r="B28" s="162" t="s">
        <v>61</v>
      </c>
      <c r="C28" s="7">
        <v>712</v>
      </c>
      <c r="D28" s="7">
        <v>1428</v>
      </c>
      <c r="E28" s="7">
        <v>49</v>
      </c>
      <c r="F28" s="7">
        <v>92</v>
      </c>
      <c r="G28" s="7">
        <v>218</v>
      </c>
      <c r="H28" s="7">
        <v>115</v>
      </c>
      <c r="I28" s="7">
        <v>107</v>
      </c>
      <c r="J28" s="47">
        <f t="shared" si="0"/>
        <v>1.1044083526682134</v>
      </c>
    </row>
    <row r="29" spans="1:10" ht="15.75" customHeight="1">
      <c r="A29" s="134" t="s">
        <v>220</v>
      </c>
      <c r="B29" s="162" t="s">
        <v>64</v>
      </c>
      <c r="C29" s="7">
        <v>959</v>
      </c>
      <c r="D29" s="7">
        <v>1922</v>
      </c>
      <c r="E29" s="7">
        <v>2694</v>
      </c>
      <c r="F29" s="7">
        <v>87</v>
      </c>
      <c r="G29" s="7">
        <v>207</v>
      </c>
      <c r="H29" s="7">
        <v>1094</v>
      </c>
      <c r="I29" s="7">
        <v>700</v>
      </c>
      <c r="J29" s="47">
        <f t="shared" si="0"/>
        <v>0.33478488068280787</v>
      </c>
    </row>
    <row r="30" spans="1:10" ht="15.75" customHeight="1">
      <c r="A30" s="134" t="s">
        <v>221</v>
      </c>
      <c r="B30" s="162" t="s">
        <v>68</v>
      </c>
      <c r="C30" s="7">
        <v>124</v>
      </c>
      <c r="D30" s="7">
        <v>249</v>
      </c>
      <c r="E30" s="7">
        <v>3</v>
      </c>
      <c r="F30" s="7">
        <v>10</v>
      </c>
      <c r="G30" s="7">
        <v>25</v>
      </c>
      <c r="H30" s="7">
        <v>18</v>
      </c>
      <c r="I30" s="7">
        <v>15</v>
      </c>
      <c r="J30" s="47">
        <f t="shared" si="0"/>
        <v>1.2769230769230768</v>
      </c>
    </row>
    <row r="31" spans="1:10" ht="15.75" customHeight="1">
      <c r="A31" s="134" t="s">
        <v>222</v>
      </c>
      <c r="B31" s="162" t="s">
        <v>65</v>
      </c>
      <c r="C31" s="7">
        <v>2</v>
      </c>
      <c r="D31" s="7">
        <v>4</v>
      </c>
      <c r="E31" s="7">
        <v>0</v>
      </c>
      <c r="F31" s="7">
        <v>0</v>
      </c>
      <c r="G31" s="7">
        <v>1</v>
      </c>
      <c r="H31" s="7">
        <v>1</v>
      </c>
      <c r="I31" s="7">
        <v>0</v>
      </c>
      <c r="J31" s="47">
        <f t="shared" si="0"/>
        <v>1</v>
      </c>
    </row>
    <row r="32" spans="1:10" ht="15.75" customHeight="1">
      <c r="A32" s="134" t="s">
        <v>223</v>
      </c>
      <c r="B32" s="162" t="s">
        <v>66</v>
      </c>
      <c r="C32" s="7">
        <v>5</v>
      </c>
      <c r="D32" s="7">
        <v>9</v>
      </c>
      <c r="E32" s="7">
        <v>0</v>
      </c>
      <c r="F32" s="7">
        <v>1</v>
      </c>
      <c r="G32" s="7">
        <v>1</v>
      </c>
      <c r="H32" s="7">
        <v>1</v>
      </c>
      <c r="I32" s="7">
        <v>1</v>
      </c>
      <c r="J32" s="47">
        <f t="shared" si="0"/>
        <v>1</v>
      </c>
    </row>
    <row r="33" spans="1:10" ht="15.75" customHeight="1">
      <c r="A33" s="134" t="s">
        <v>224</v>
      </c>
      <c r="B33" s="162" t="s">
        <v>67</v>
      </c>
      <c r="C33" s="7">
        <v>239</v>
      </c>
      <c r="D33" s="7">
        <v>480</v>
      </c>
      <c r="E33" s="7">
        <v>14</v>
      </c>
      <c r="F33" s="7">
        <v>19</v>
      </c>
      <c r="G33" s="7">
        <v>45</v>
      </c>
      <c r="H33" s="7">
        <v>46</v>
      </c>
      <c r="I33" s="7">
        <v>37</v>
      </c>
      <c r="J33" s="47">
        <f t="shared" si="0"/>
        <v>1.2</v>
      </c>
    </row>
    <row r="34" spans="1:10" ht="15.75" customHeight="1">
      <c r="A34" s="134" t="s">
        <v>225</v>
      </c>
      <c r="B34" s="162" t="s">
        <v>39</v>
      </c>
      <c r="C34" s="7">
        <v>52</v>
      </c>
      <c r="D34" s="7">
        <v>105</v>
      </c>
      <c r="E34" s="7">
        <v>23</v>
      </c>
      <c r="F34" s="7">
        <v>9</v>
      </c>
      <c r="G34" s="7">
        <v>22</v>
      </c>
      <c r="H34" s="7">
        <v>25</v>
      </c>
      <c r="I34" s="7">
        <v>19</v>
      </c>
      <c r="J34" s="47">
        <f t="shared" si="0"/>
        <v>0.7</v>
      </c>
    </row>
    <row r="35" spans="1:10" ht="15.75" customHeight="1">
      <c r="A35" s="134" t="s">
        <v>226</v>
      </c>
      <c r="B35" s="162" t="s">
        <v>62</v>
      </c>
      <c r="C35" s="7">
        <v>184</v>
      </c>
      <c r="D35" s="7">
        <v>369</v>
      </c>
      <c r="E35" s="7">
        <v>5</v>
      </c>
      <c r="F35" s="7">
        <v>15</v>
      </c>
      <c r="G35" s="7">
        <v>35</v>
      </c>
      <c r="H35" s="7">
        <v>18</v>
      </c>
      <c r="I35" s="7">
        <v>11</v>
      </c>
      <c r="J35" s="47">
        <f t="shared" si="0"/>
        <v>1.3768656716417911</v>
      </c>
    </row>
    <row r="36" spans="1:10" ht="15.75" customHeight="1">
      <c r="A36" s="134" t="s">
        <v>227</v>
      </c>
      <c r="B36" s="162" t="s">
        <v>63</v>
      </c>
      <c r="C36" s="7">
        <v>496</v>
      </c>
      <c r="D36" s="7">
        <v>995</v>
      </c>
      <c r="E36" s="7">
        <v>47</v>
      </c>
      <c r="F36" s="7">
        <v>43</v>
      </c>
      <c r="G36" s="7">
        <v>102</v>
      </c>
      <c r="H36" s="7">
        <v>126</v>
      </c>
      <c r="I36" s="7">
        <v>107</v>
      </c>
      <c r="J36" s="47">
        <f t="shared" si="0"/>
        <v>1.0803474484256244</v>
      </c>
    </row>
    <row r="37" spans="1:10" ht="15.75" customHeight="1">
      <c r="A37" s="134" t="s">
        <v>228</v>
      </c>
      <c r="B37" s="162" t="s">
        <v>69</v>
      </c>
      <c r="C37" s="7">
        <v>149</v>
      </c>
      <c r="D37" s="7">
        <v>298</v>
      </c>
      <c r="E37" s="7">
        <v>169</v>
      </c>
      <c r="F37" s="7">
        <v>16</v>
      </c>
      <c r="G37" s="7">
        <v>39</v>
      </c>
      <c r="H37" s="7">
        <v>101</v>
      </c>
      <c r="I37" s="7">
        <v>30</v>
      </c>
      <c r="J37" s="47">
        <f t="shared" si="0"/>
        <v>0.59126984126984128</v>
      </c>
    </row>
    <row r="38" spans="1:10" ht="15.75" customHeight="1">
      <c r="A38" s="134" t="s">
        <v>229</v>
      </c>
      <c r="B38" s="162" t="s">
        <v>70</v>
      </c>
      <c r="C38" s="7">
        <v>1052</v>
      </c>
      <c r="D38" s="7">
        <v>2109</v>
      </c>
      <c r="E38" s="7">
        <v>346</v>
      </c>
      <c r="F38" s="7">
        <v>87</v>
      </c>
      <c r="G38" s="7">
        <v>207</v>
      </c>
      <c r="H38" s="7">
        <v>464</v>
      </c>
      <c r="I38" s="7">
        <v>247</v>
      </c>
      <c r="J38" s="47">
        <f t="shared" si="0"/>
        <v>0.87765293383270915</v>
      </c>
    </row>
    <row r="39" spans="1:10" ht="15.75" customHeight="1">
      <c r="A39" s="134" t="s">
        <v>230</v>
      </c>
      <c r="B39" s="162" t="s">
        <v>71</v>
      </c>
      <c r="C39" s="7">
        <v>266</v>
      </c>
      <c r="D39" s="7">
        <v>533</v>
      </c>
      <c r="E39" s="7">
        <v>96</v>
      </c>
      <c r="F39" s="7">
        <v>25</v>
      </c>
      <c r="G39" s="7">
        <v>59</v>
      </c>
      <c r="H39" s="7">
        <v>67</v>
      </c>
      <c r="I39" s="7">
        <v>56</v>
      </c>
      <c r="J39" s="47">
        <f t="shared" si="0"/>
        <v>0.93673110720562391</v>
      </c>
    </row>
    <row r="40" spans="1:10" ht="15.75" customHeight="1">
      <c r="A40" s="134" t="s">
        <v>231</v>
      </c>
      <c r="B40" s="162" t="s">
        <v>72</v>
      </c>
      <c r="C40" s="7">
        <v>110</v>
      </c>
      <c r="D40" s="7">
        <v>220</v>
      </c>
      <c r="E40" s="7">
        <v>102</v>
      </c>
      <c r="F40" s="7">
        <v>14</v>
      </c>
      <c r="G40" s="7">
        <v>34</v>
      </c>
      <c r="H40" s="7">
        <v>62</v>
      </c>
      <c r="I40" s="7">
        <v>26</v>
      </c>
      <c r="J40" s="47">
        <f t="shared" si="0"/>
        <v>0.63218390804597702</v>
      </c>
    </row>
    <row r="41" spans="1:10" ht="15.75" customHeight="1">
      <c r="A41" s="134" t="s">
        <v>232</v>
      </c>
      <c r="B41" s="162" t="s">
        <v>73</v>
      </c>
      <c r="C41" s="7">
        <v>1</v>
      </c>
      <c r="D41" s="7">
        <v>1</v>
      </c>
      <c r="E41" s="7">
        <v>0</v>
      </c>
      <c r="F41" s="7">
        <v>0</v>
      </c>
      <c r="G41" s="7">
        <v>0</v>
      </c>
      <c r="H41" s="7">
        <v>0</v>
      </c>
      <c r="I41" s="7">
        <v>0</v>
      </c>
      <c r="J41" s="47">
        <f t="shared" si="0"/>
        <v>1</v>
      </c>
    </row>
    <row r="42" spans="1:10" ht="15.75" customHeight="1">
      <c r="A42" s="134" t="s">
        <v>233</v>
      </c>
      <c r="B42" s="162" t="s">
        <v>74</v>
      </c>
      <c r="C42" s="7">
        <v>89</v>
      </c>
      <c r="D42" s="7">
        <v>179</v>
      </c>
      <c r="E42" s="7">
        <v>2</v>
      </c>
      <c r="F42" s="7">
        <v>6</v>
      </c>
      <c r="G42" s="7">
        <v>15</v>
      </c>
      <c r="H42" s="7">
        <v>6</v>
      </c>
      <c r="I42" s="7">
        <v>5</v>
      </c>
      <c r="J42" s="47">
        <f t="shared" si="0"/>
        <v>1.4552845528455285</v>
      </c>
    </row>
    <row r="43" spans="1:10" ht="15.75" customHeight="1">
      <c r="A43" s="134" t="s">
        <v>234</v>
      </c>
      <c r="B43" s="162" t="s">
        <v>75</v>
      </c>
      <c r="C43" s="7">
        <v>890</v>
      </c>
      <c r="D43" s="7">
        <v>1783</v>
      </c>
      <c r="E43" s="7">
        <v>447</v>
      </c>
      <c r="F43" s="7">
        <v>85</v>
      </c>
      <c r="G43" s="7">
        <v>202</v>
      </c>
      <c r="H43" s="7">
        <v>326</v>
      </c>
      <c r="I43" s="7">
        <v>215</v>
      </c>
      <c r="J43" s="47">
        <f t="shared" si="0"/>
        <v>0.82355658198614323</v>
      </c>
    </row>
    <row r="44" spans="1:10" ht="15.75" customHeight="1">
      <c r="A44" s="134" t="s">
        <v>235</v>
      </c>
      <c r="B44" s="162" t="s">
        <v>76</v>
      </c>
      <c r="C44" s="7">
        <v>453</v>
      </c>
      <c r="D44" s="7">
        <v>909</v>
      </c>
      <c r="E44" s="7">
        <v>19</v>
      </c>
      <c r="F44" s="7">
        <v>29</v>
      </c>
      <c r="G44" s="7">
        <v>70</v>
      </c>
      <c r="H44" s="7">
        <v>71</v>
      </c>
      <c r="I44" s="7">
        <v>40</v>
      </c>
      <c r="J44" s="47">
        <f t="shared" si="0"/>
        <v>1.3328445747800586</v>
      </c>
    </row>
    <row r="45" spans="1:10" ht="15.75" customHeight="1">
      <c r="A45" s="134" t="s">
        <v>236</v>
      </c>
      <c r="B45" s="162" t="s">
        <v>77</v>
      </c>
      <c r="C45" s="7">
        <v>2280</v>
      </c>
      <c r="D45" s="7">
        <v>4570</v>
      </c>
      <c r="E45" s="7">
        <v>2998</v>
      </c>
      <c r="F45" s="7">
        <v>188</v>
      </c>
      <c r="G45" s="7">
        <v>448</v>
      </c>
      <c r="H45" s="7">
        <v>1218</v>
      </c>
      <c r="I45" s="7">
        <v>723</v>
      </c>
      <c r="J45" s="47">
        <f t="shared" si="0"/>
        <v>0.5817950350095481</v>
      </c>
    </row>
    <row r="46" spans="1:10" ht="15.75" customHeight="1">
      <c r="A46" s="134" t="s">
        <v>237</v>
      </c>
      <c r="B46" s="162" t="s">
        <v>78</v>
      </c>
      <c r="C46" s="7">
        <v>179</v>
      </c>
      <c r="D46" s="7">
        <v>358</v>
      </c>
      <c r="E46" s="7">
        <v>21</v>
      </c>
      <c r="F46" s="7">
        <v>20</v>
      </c>
      <c r="G46" s="7">
        <v>48</v>
      </c>
      <c r="H46" s="7">
        <v>37</v>
      </c>
      <c r="I46" s="7">
        <v>28</v>
      </c>
      <c r="J46" s="47">
        <f t="shared" si="0"/>
        <v>1.075075075075075</v>
      </c>
    </row>
    <row r="47" spans="1:10" ht="15.75" customHeight="1">
      <c r="A47" s="134" t="s">
        <v>238</v>
      </c>
      <c r="B47" s="162" t="s">
        <v>80</v>
      </c>
      <c r="C47" s="7">
        <v>6</v>
      </c>
      <c r="D47" s="7">
        <v>13</v>
      </c>
      <c r="E47" s="7">
        <v>1</v>
      </c>
      <c r="F47" s="7">
        <v>1</v>
      </c>
      <c r="G47" s="7">
        <v>3</v>
      </c>
      <c r="H47" s="7">
        <v>2</v>
      </c>
      <c r="I47" s="7">
        <v>3</v>
      </c>
      <c r="J47" s="47">
        <f t="shared" si="0"/>
        <v>0.8125</v>
      </c>
    </row>
    <row r="48" spans="1:10" ht="15.75" customHeight="1">
      <c r="A48" s="134" t="s">
        <v>239</v>
      </c>
      <c r="B48" s="162" t="s">
        <v>79</v>
      </c>
      <c r="C48" s="7">
        <v>312</v>
      </c>
      <c r="D48" s="7">
        <v>626</v>
      </c>
      <c r="E48" s="7">
        <v>19</v>
      </c>
      <c r="F48" s="7">
        <v>22</v>
      </c>
      <c r="G48" s="7">
        <v>52</v>
      </c>
      <c r="H48" s="7">
        <v>76</v>
      </c>
      <c r="I48" s="7">
        <v>30</v>
      </c>
      <c r="J48" s="47">
        <f t="shared" si="0"/>
        <v>1.2250489236790607</v>
      </c>
    </row>
    <row r="49" spans="1:10" ht="15.75" customHeight="1">
      <c r="A49" s="134" t="s">
        <v>240</v>
      </c>
      <c r="B49" s="162" t="s">
        <v>81</v>
      </c>
      <c r="C49" s="7">
        <v>114</v>
      </c>
      <c r="D49" s="7">
        <v>228</v>
      </c>
      <c r="E49" s="7">
        <v>243</v>
      </c>
      <c r="F49" s="7">
        <v>13</v>
      </c>
      <c r="G49" s="7">
        <v>32</v>
      </c>
      <c r="H49" s="7">
        <v>94</v>
      </c>
      <c r="I49" s="7">
        <v>63</v>
      </c>
      <c r="J49" s="47">
        <f t="shared" si="0"/>
        <v>0.40787119856887299</v>
      </c>
    </row>
    <row r="50" spans="1:10" ht="15.75" customHeight="1">
      <c r="A50" s="134" t="s">
        <v>241</v>
      </c>
      <c r="B50" s="162" t="s">
        <v>83</v>
      </c>
      <c r="C50" s="7">
        <v>99</v>
      </c>
      <c r="D50" s="7">
        <v>199</v>
      </c>
      <c r="E50" s="7">
        <v>4</v>
      </c>
      <c r="F50" s="7">
        <v>8</v>
      </c>
      <c r="G50" s="7">
        <v>19</v>
      </c>
      <c r="H50" s="7">
        <v>20</v>
      </c>
      <c r="I50" s="7">
        <v>10</v>
      </c>
      <c r="J50" s="47">
        <f t="shared" si="0"/>
        <v>1.2437499999999999</v>
      </c>
    </row>
    <row r="51" spans="1:10" ht="15.75" customHeight="1">
      <c r="A51" s="134" t="s">
        <v>242</v>
      </c>
      <c r="B51" s="162" t="s">
        <v>82</v>
      </c>
      <c r="C51" s="7">
        <v>155</v>
      </c>
      <c r="D51" s="7">
        <v>310</v>
      </c>
      <c r="E51" s="7">
        <v>255</v>
      </c>
      <c r="F51" s="7">
        <v>21</v>
      </c>
      <c r="G51" s="7">
        <v>50</v>
      </c>
      <c r="H51" s="7">
        <v>156</v>
      </c>
      <c r="I51" s="7">
        <v>23</v>
      </c>
      <c r="J51" s="47">
        <f t="shared" si="0"/>
        <v>0.46969696969696972</v>
      </c>
    </row>
    <row r="52" spans="1:10" ht="15.75" customHeight="1">
      <c r="A52" s="134" t="s">
        <v>243</v>
      </c>
      <c r="B52" s="162" t="s">
        <v>84</v>
      </c>
      <c r="C52" s="7">
        <v>361</v>
      </c>
      <c r="D52" s="7">
        <v>724</v>
      </c>
      <c r="E52" s="7">
        <v>71</v>
      </c>
      <c r="F52" s="7">
        <v>38</v>
      </c>
      <c r="G52" s="7">
        <v>90</v>
      </c>
      <c r="H52" s="7">
        <v>71</v>
      </c>
      <c r="I52" s="7">
        <v>59</v>
      </c>
      <c r="J52" s="47">
        <f t="shared" si="0"/>
        <v>1.0492753623188407</v>
      </c>
    </row>
    <row r="53" spans="1:10" ht="15.75" customHeight="1">
      <c r="A53" s="7"/>
      <c r="B53" s="7">
        <v>1</v>
      </c>
      <c r="C53" s="7">
        <v>2</v>
      </c>
      <c r="D53" s="7">
        <v>3</v>
      </c>
      <c r="E53" s="7">
        <v>4</v>
      </c>
      <c r="F53" s="7">
        <v>5</v>
      </c>
      <c r="G53" s="7">
        <v>6</v>
      </c>
      <c r="H53" s="7">
        <v>7</v>
      </c>
      <c r="I53" s="7">
        <v>8</v>
      </c>
      <c r="J53" s="47">
        <f t="shared" si="0"/>
        <v>9.375E-2</v>
      </c>
    </row>
    <row r="54" spans="1:10" ht="15.75" customHeight="1"/>
    <row r="55" spans="1:10" ht="15.75" customHeight="1"/>
    <row r="56" spans="1:10" ht="15.75" customHeight="1"/>
    <row r="57" spans="1:10" ht="15.75" customHeight="1"/>
    <row r="58" spans="1:10" ht="15.75" customHeight="1"/>
    <row r="59" spans="1:10" ht="15.7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I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M1000"/>
  <sheetViews>
    <sheetView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2.6640625" defaultRowHeight="15" customHeight="1"/>
  <cols>
    <col min="7" max="7" width="14.33203125" customWidth="1"/>
    <col min="8" max="8" width="21.1640625" customWidth="1"/>
  </cols>
  <sheetData>
    <row r="1" spans="1:13" ht="15.75" customHeight="1">
      <c r="A1" s="7"/>
      <c r="B1" s="235" t="s">
        <v>244</v>
      </c>
      <c r="C1" s="212"/>
      <c r="D1" s="212"/>
      <c r="E1" s="212"/>
      <c r="F1" s="212"/>
      <c r="G1" s="212"/>
      <c r="H1" s="212"/>
      <c r="I1" s="212"/>
      <c r="J1" s="7"/>
      <c r="K1" s="7"/>
      <c r="L1" s="7"/>
      <c r="M1" s="7"/>
    </row>
    <row r="2" spans="1:13" ht="25.5" customHeight="1">
      <c r="A2" s="164" t="s">
        <v>31</v>
      </c>
      <c r="B2" s="164" t="s">
        <v>245</v>
      </c>
      <c r="C2" s="164" t="s">
        <v>246</v>
      </c>
      <c r="D2" s="164" t="s">
        <v>247</v>
      </c>
      <c r="E2" s="165" t="s">
        <v>248</v>
      </c>
      <c r="F2" s="165" t="s">
        <v>138</v>
      </c>
      <c r="G2" s="165" t="s">
        <v>249</v>
      </c>
      <c r="H2" s="165" t="s">
        <v>250</v>
      </c>
      <c r="I2" s="14" t="s">
        <v>251</v>
      </c>
      <c r="J2" s="166" t="s">
        <v>252</v>
      </c>
      <c r="K2" s="45" t="s">
        <v>253</v>
      </c>
      <c r="L2" s="45" t="s">
        <v>254</v>
      </c>
      <c r="M2" s="45" t="s">
        <v>255</v>
      </c>
    </row>
    <row r="3" spans="1:13" ht="35.25" customHeight="1">
      <c r="A3" s="7" t="s">
        <v>256</v>
      </c>
      <c r="B3" s="167"/>
      <c r="C3" s="131" t="s">
        <v>257</v>
      </c>
      <c r="D3" s="131" t="s">
        <v>258</v>
      </c>
      <c r="E3" s="131" t="s">
        <v>258</v>
      </c>
      <c r="F3" s="131" t="s">
        <v>258</v>
      </c>
      <c r="G3" s="167"/>
      <c r="H3" s="167" t="s">
        <v>259</v>
      </c>
      <c r="I3" s="168"/>
      <c r="J3" s="169" t="s">
        <v>260</v>
      </c>
      <c r="K3" s="169" t="s">
        <v>260</v>
      </c>
      <c r="L3" s="169" t="s">
        <v>260</v>
      </c>
      <c r="M3" s="169" t="s">
        <v>260</v>
      </c>
    </row>
    <row r="4" spans="1:13" ht="15.75" customHeight="1">
      <c r="A4" s="170" t="s">
        <v>197</v>
      </c>
      <c r="B4" s="167" t="s">
        <v>37</v>
      </c>
      <c r="C4" s="167">
        <v>1725000</v>
      </c>
      <c r="D4" s="167">
        <v>891000</v>
      </c>
      <c r="E4" s="167">
        <v>221000</v>
      </c>
      <c r="F4" s="167">
        <v>531000</v>
      </c>
      <c r="G4" s="171">
        <f t="shared" ref="G4:G51" si="0">C4/SUM(D4:F4)</f>
        <v>1.0499087035909922</v>
      </c>
      <c r="H4" s="167">
        <v>24354</v>
      </c>
      <c r="I4" s="168">
        <f t="shared" ref="I4:I51" si="1">H4/305</f>
        <v>79.849180327868851</v>
      </c>
      <c r="J4" s="33">
        <v>655</v>
      </c>
      <c r="K4" s="172">
        <f t="shared" ref="K4:K51" si="2">270 * 0.453592</f>
        <v>122.46984</v>
      </c>
      <c r="L4" s="172">
        <v>250</v>
      </c>
      <c r="M4" s="172">
        <v>500</v>
      </c>
    </row>
    <row r="5" spans="1:13" ht="15.75" customHeight="1">
      <c r="A5" s="170" t="s">
        <v>216</v>
      </c>
      <c r="B5" s="167" t="s">
        <v>38</v>
      </c>
      <c r="C5" s="167">
        <v>445000</v>
      </c>
      <c r="D5" s="167">
        <v>230000</v>
      </c>
      <c r="E5" s="167">
        <v>68000</v>
      </c>
      <c r="F5" s="167">
        <v>164000</v>
      </c>
      <c r="G5" s="171">
        <f t="shared" si="0"/>
        <v>0.96320346320346317</v>
      </c>
      <c r="H5" s="167">
        <v>22881</v>
      </c>
      <c r="I5" s="168">
        <f t="shared" si="1"/>
        <v>75.019672131147544</v>
      </c>
      <c r="J5" s="33">
        <v>655</v>
      </c>
      <c r="K5" s="172">
        <f t="shared" si="2"/>
        <v>122.46984</v>
      </c>
      <c r="L5" s="172">
        <v>250</v>
      </c>
      <c r="M5" s="172">
        <v>500</v>
      </c>
    </row>
    <row r="6" spans="1:13" ht="15.75" customHeight="1">
      <c r="A6" s="170" t="s">
        <v>225</v>
      </c>
      <c r="B6" s="167" t="s">
        <v>39</v>
      </c>
      <c r="C6" s="167">
        <v>625000</v>
      </c>
      <c r="D6" s="167">
        <v>323000</v>
      </c>
      <c r="E6" s="167">
        <v>100000</v>
      </c>
      <c r="F6" s="167">
        <v>241000</v>
      </c>
      <c r="G6" s="171">
        <f t="shared" si="0"/>
        <v>0.9412650602409639</v>
      </c>
      <c r="H6" s="167">
        <v>24785</v>
      </c>
      <c r="I6" s="168">
        <f t="shared" si="1"/>
        <v>81.26229508196721</v>
      </c>
      <c r="J6" s="33">
        <v>655</v>
      </c>
      <c r="K6" s="172">
        <f t="shared" si="2"/>
        <v>122.46984</v>
      </c>
      <c r="L6" s="172">
        <v>250</v>
      </c>
      <c r="M6" s="172">
        <v>500</v>
      </c>
    </row>
    <row r="7" spans="1:13" ht="15.75" customHeight="1">
      <c r="A7" s="170" t="s">
        <v>215</v>
      </c>
      <c r="B7" s="167" t="s">
        <v>58</v>
      </c>
      <c r="C7" s="167">
        <v>427000</v>
      </c>
      <c r="D7" s="167">
        <v>221000</v>
      </c>
      <c r="E7" s="167">
        <v>51000</v>
      </c>
      <c r="F7" s="167">
        <v>122000</v>
      </c>
      <c r="G7" s="171">
        <f t="shared" si="0"/>
        <v>1.0837563451776651</v>
      </c>
      <c r="H7" s="167">
        <v>27102</v>
      </c>
      <c r="I7" s="168">
        <f t="shared" si="1"/>
        <v>88.85901639344263</v>
      </c>
      <c r="J7" s="33">
        <v>655</v>
      </c>
      <c r="K7" s="172">
        <f t="shared" si="2"/>
        <v>122.46984</v>
      </c>
      <c r="L7" s="172">
        <v>250</v>
      </c>
      <c r="M7" s="172">
        <v>500</v>
      </c>
    </row>
    <row r="8" spans="1:13" ht="15.75" customHeight="1">
      <c r="A8" s="170" t="s">
        <v>242</v>
      </c>
      <c r="B8" s="167" t="s">
        <v>82</v>
      </c>
      <c r="C8" s="167">
        <v>1260000</v>
      </c>
      <c r="D8" s="167">
        <v>651000</v>
      </c>
      <c r="E8" s="167">
        <v>201000</v>
      </c>
      <c r="F8" s="167">
        <v>482000</v>
      </c>
      <c r="G8" s="171">
        <f t="shared" si="0"/>
        <v>0.94452773613193408</v>
      </c>
      <c r="H8" s="167">
        <v>24884</v>
      </c>
      <c r="I8" s="168">
        <f t="shared" si="1"/>
        <v>81.586885245901641</v>
      </c>
      <c r="J8" s="33">
        <v>655</v>
      </c>
      <c r="K8" s="172">
        <f t="shared" si="2"/>
        <v>122.46984</v>
      </c>
      <c r="L8" s="172">
        <v>250</v>
      </c>
      <c r="M8" s="172">
        <v>500</v>
      </c>
    </row>
    <row r="9" spans="1:13" ht="15.75" customHeight="1">
      <c r="A9" s="7" t="s">
        <v>221</v>
      </c>
      <c r="B9" s="167" t="s">
        <v>68</v>
      </c>
      <c r="C9" s="167">
        <v>31000</v>
      </c>
      <c r="D9" s="167">
        <v>16000</v>
      </c>
      <c r="E9" s="167">
        <v>3000</v>
      </c>
      <c r="F9" s="167">
        <v>7000</v>
      </c>
      <c r="G9" s="171">
        <f t="shared" si="0"/>
        <v>1.1923076923076923</v>
      </c>
      <c r="H9" s="167">
        <v>24545</v>
      </c>
      <c r="I9" s="168">
        <f t="shared" si="1"/>
        <v>80.47540983606558</v>
      </c>
      <c r="J9" s="33">
        <v>655</v>
      </c>
      <c r="K9" s="172">
        <f t="shared" si="2"/>
        <v>122.46984</v>
      </c>
      <c r="L9" s="172">
        <v>250</v>
      </c>
      <c r="M9" s="172">
        <v>500</v>
      </c>
    </row>
    <row r="10" spans="1:13" ht="15.75" customHeight="1">
      <c r="A10" s="7" t="s">
        <v>236</v>
      </c>
      <c r="B10" s="167" t="s">
        <v>77</v>
      </c>
      <c r="C10" s="167">
        <v>580000</v>
      </c>
      <c r="D10" s="167">
        <v>300000</v>
      </c>
      <c r="E10" s="167">
        <v>82000</v>
      </c>
      <c r="F10" s="167">
        <v>196000</v>
      </c>
      <c r="G10" s="171">
        <f t="shared" si="0"/>
        <v>1.0034602076124568</v>
      </c>
      <c r="H10" s="167">
        <v>25079</v>
      </c>
      <c r="I10" s="168">
        <f t="shared" si="1"/>
        <v>82.226229508196724</v>
      </c>
      <c r="J10" s="33">
        <v>655</v>
      </c>
      <c r="K10" s="172">
        <f t="shared" si="2"/>
        <v>122.46984</v>
      </c>
      <c r="L10" s="172">
        <v>250</v>
      </c>
      <c r="M10" s="172">
        <v>500</v>
      </c>
    </row>
    <row r="11" spans="1:13" ht="15.75" customHeight="1">
      <c r="A11" s="7" t="s">
        <v>192</v>
      </c>
      <c r="B11" s="167" t="s">
        <v>40</v>
      </c>
      <c r="C11" s="167">
        <v>4000</v>
      </c>
      <c r="D11" s="167">
        <v>2000</v>
      </c>
      <c r="E11" s="167">
        <v>1000</v>
      </c>
      <c r="F11" s="167">
        <v>1000</v>
      </c>
      <c r="G11" s="171">
        <f t="shared" si="0"/>
        <v>1</v>
      </c>
      <c r="H11" s="167">
        <v>13000</v>
      </c>
      <c r="I11" s="168">
        <f t="shared" si="1"/>
        <v>42.622950819672134</v>
      </c>
      <c r="J11" s="33">
        <v>655</v>
      </c>
      <c r="K11" s="172">
        <f t="shared" si="2"/>
        <v>122.46984</v>
      </c>
      <c r="L11" s="172">
        <v>250</v>
      </c>
      <c r="M11" s="172">
        <v>500</v>
      </c>
    </row>
    <row r="12" spans="1:13" ht="15.75" customHeight="1">
      <c r="A12" s="7" t="s">
        <v>195</v>
      </c>
      <c r="B12" s="167" t="s">
        <v>42</v>
      </c>
      <c r="C12" s="167">
        <v>196000</v>
      </c>
      <c r="D12" s="167">
        <v>101000</v>
      </c>
      <c r="E12" s="167">
        <v>33000</v>
      </c>
      <c r="F12" s="167">
        <v>80000</v>
      </c>
      <c r="G12" s="171">
        <f t="shared" si="0"/>
        <v>0.91588785046728971</v>
      </c>
      <c r="H12" s="167">
        <v>24333</v>
      </c>
      <c r="I12" s="168">
        <f t="shared" si="1"/>
        <v>79.780327868852453</v>
      </c>
      <c r="J12" s="33">
        <v>655</v>
      </c>
      <c r="K12" s="172">
        <f t="shared" si="2"/>
        <v>122.46984</v>
      </c>
      <c r="L12" s="172">
        <v>250</v>
      </c>
      <c r="M12" s="172">
        <v>500</v>
      </c>
    </row>
    <row r="13" spans="1:13" ht="15.75" customHeight="1">
      <c r="A13" s="7" t="s">
        <v>196</v>
      </c>
      <c r="B13" s="167" t="s">
        <v>41</v>
      </c>
      <c r="C13" s="167">
        <v>5000</v>
      </c>
      <c r="D13" s="167">
        <v>3000</v>
      </c>
      <c r="E13" s="167">
        <v>1000</v>
      </c>
      <c r="F13" s="167">
        <v>2000</v>
      </c>
      <c r="G13" s="171">
        <f t="shared" si="0"/>
        <v>0.83333333333333337</v>
      </c>
      <c r="H13" s="167">
        <v>12000</v>
      </c>
      <c r="I13" s="168">
        <f t="shared" si="1"/>
        <v>39.344262295081968</v>
      </c>
      <c r="J13" s="33">
        <v>655</v>
      </c>
      <c r="K13" s="172">
        <f t="shared" si="2"/>
        <v>122.46984</v>
      </c>
      <c r="L13" s="172">
        <v>250</v>
      </c>
      <c r="M13" s="172">
        <v>500</v>
      </c>
    </row>
    <row r="14" spans="1:13" ht="15.75" customHeight="1">
      <c r="A14" s="7" t="s">
        <v>198</v>
      </c>
      <c r="B14" s="167" t="s">
        <v>43</v>
      </c>
      <c r="C14" s="167">
        <v>189000</v>
      </c>
      <c r="D14" s="167">
        <v>98000</v>
      </c>
      <c r="E14" s="167">
        <v>33000</v>
      </c>
      <c r="F14" s="167">
        <v>80000</v>
      </c>
      <c r="G14" s="171">
        <f t="shared" si="0"/>
        <v>0.89573459715639814</v>
      </c>
      <c r="H14" s="167">
        <v>25966</v>
      </c>
      <c r="I14" s="168">
        <f t="shared" si="1"/>
        <v>85.134426229508193</v>
      </c>
      <c r="J14" s="33">
        <v>655</v>
      </c>
      <c r="K14" s="172">
        <f t="shared" si="2"/>
        <v>122.46984</v>
      </c>
      <c r="L14" s="172">
        <v>250</v>
      </c>
      <c r="M14" s="172">
        <v>500</v>
      </c>
    </row>
    <row r="15" spans="1:13" ht="15.75" customHeight="1">
      <c r="A15" s="7" t="s">
        <v>199</v>
      </c>
      <c r="B15" s="167" t="s">
        <v>44</v>
      </c>
      <c r="C15" s="167">
        <v>20000</v>
      </c>
      <c r="D15" s="167">
        <v>10000</v>
      </c>
      <c r="E15" s="167">
        <v>3000</v>
      </c>
      <c r="F15" s="167">
        <v>7000</v>
      </c>
      <c r="G15" s="171">
        <f t="shared" si="0"/>
        <v>1</v>
      </c>
      <c r="H15" s="167">
        <v>22842</v>
      </c>
      <c r="I15" s="168">
        <f t="shared" si="1"/>
        <v>74.891803278688528</v>
      </c>
      <c r="J15" s="33">
        <v>655</v>
      </c>
      <c r="K15" s="172">
        <f t="shared" si="2"/>
        <v>122.46984</v>
      </c>
      <c r="L15" s="172">
        <v>250</v>
      </c>
      <c r="M15" s="172">
        <v>500</v>
      </c>
    </row>
    <row r="16" spans="1:13" ht="15.75" customHeight="1">
      <c r="A16" s="7" t="s">
        <v>200</v>
      </c>
      <c r="B16" s="167" t="s">
        <v>45</v>
      </c>
      <c r="C16" s="167">
        <v>4000</v>
      </c>
      <c r="D16" s="167">
        <v>2000</v>
      </c>
      <c r="E16" s="167">
        <v>1000</v>
      </c>
      <c r="F16" s="167">
        <v>1000</v>
      </c>
      <c r="G16" s="171">
        <f t="shared" si="0"/>
        <v>1</v>
      </c>
      <c r="H16" s="167">
        <v>17333</v>
      </c>
      <c r="I16" s="168">
        <f t="shared" si="1"/>
        <v>56.829508196721314</v>
      </c>
      <c r="J16" s="33">
        <v>655</v>
      </c>
      <c r="K16" s="172">
        <f t="shared" si="2"/>
        <v>122.46984</v>
      </c>
      <c r="L16" s="172">
        <v>250</v>
      </c>
      <c r="M16" s="172">
        <v>500</v>
      </c>
    </row>
    <row r="17" spans="1:13" ht="15.75" customHeight="1">
      <c r="A17" s="7" t="s">
        <v>201</v>
      </c>
      <c r="B17" s="167" t="s">
        <v>46</v>
      </c>
      <c r="C17" s="167">
        <v>116000</v>
      </c>
      <c r="D17" s="167">
        <v>60000</v>
      </c>
      <c r="E17" s="167">
        <v>10000</v>
      </c>
      <c r="F17" s="167">
        <v>24000</v>
      </c>
      <c r="G17" s="171">
        <f t="shared" si="0"/>
        <v>1.2340425531914894</v>
      </c>
      <c r="H17" s="167">
        <v>20093</v>
      </c>
      <c r="I17" s="168">
        <f t="shared" si="1"/>
        <v>65.87868852459016</v>
      </c>
      <c r="J17" s="33">
        <v>655</v>
      </c>
      <c r="K17" s="172">
        <f t="shared" si="2"/>
        <v>122.46984</v>
      </c>
      <c r="L17" s="172">
        <v>250</v>
      </c>
      <c r="M17" s="172">
        <v>500</v>
      </c>
    </row>
    <row r="18" spans="1:13" ht="15.75" customHeight="1">
      <c r="A18" s="7" t="s">
        <v>202</v>
      </c>
      <c r="B18" s="167" t="s">
        <v>47</v>
      </c>
      <c r="C18" s="167">
        <v>81000</v>
      </c>
      <c r="D18" s="167">
        <v>42000</v>
      </c>
      <c r="E18" s="167">
        <v>9000</v>
      </c>
      <c r="F18" s="167">
        <v>21000</v>
      </c>
      <c r="G18" s="171">
        <f t="shared" si="0"/>
        <v>1.125</v>
      </c>
      <c r="H18" s="167">
        <v>21927</v>
      </c>
      <c r="I18" s="168">
        <f t="shared" si="1"/>
        <v>71.891803278688528</v>
      </c>
      <c r="J18" s="33">
        <v>655</v>
      </c>
      <c r="K18" s="172">
        <f t="shared" si="2"/>
        <v>122.46984</v>
      </c>
      <c r="L18" s="172">
        <v>250</v>
      </c>
      <c r="M18" s="172">
        <v>500</v>
      </c>
    </row>
    <row r="19" spans="1:13" ht="15.75" customHeight="1">
      <c r="A19" s="7" t="s">
        <v>205</v>
      </c>
      <c r="B19" s="167" t="s">
        <v>49</v>
      </c>
      <c r="C19" s="167">
        <v>640000</v>
      </c>
      <c r="D19" s="167">
        <v>331000</v>
      </c>
      <c r="E19" s="167">
        <v>96000</v>
      </c>
      <c r="F19" s="167">
        <v>231000</v>
      </c>
      <c r="G19" s="171">
        <f t="shared" si="0"/>
        <v>0.97264437689969607</v>
      </c>
      <c r="H19" s="167">
        <v>25172</v>
      </c>
      <c r="I19" s="168">
        <f t="shared" si="1"/>
        <v>82.531147540983611</v>
      </c>
      <c r="J19" s="33">
        <v>655</v>
      </c>
      <c r="K19" s="172">
        <f t="shared" si="2"/>
        <v>122.46984</v>
      </c>
      <c r="L19" s="172">
        <v>250</v>
      </c>
      <c r="M19" s="172">
        <v>500</v>
      </c>
    </row>
    <row r="20" spans="1:13" ht="15.75" customHeight="1">
      <c r="A20" s="7" t="s">
        <v>206</v>
      </c>
      <c r="B20" s="167" t="s">
        <v>50</v>
      </c>
      <c r="C20" s="167">
        <v>82000</v>
      </c>
      <c r="D20" s="167">
        <v>42000</v>
      </c>
      <c r="E20" s="167">
        <v>13000</v>
      </c>
      <c r="F20" s="167">
        <v>31000</v>
      </c>
      <c r="G20" s="171">
        <f t="shared" si="0"/>
        <v>0.95348837209302328</v>
      </c>
      <c r="H20" s="167">
        <v>21634</v>
      </c>
      <c r="I20" s="168">
        <f t="shared" si="1"/>
        <v>70.931147540983602</v>
      </c>
      <c r="J20" s="33">
        <v>655</v>
      </c>
      <c r="K20" s="172">
        <f t="shared" si="2"/>
        <v>122.46984</v>
      </c>
      <c r="L20" s="172">
        <v>250</v>
      </c>
      <c r="M20" s="172">
        <v>500</v>
      </c>
    </row>
    <row r="21" spans="1:13" ht="15.75" customHeight="1">
      <c r="A21" s="7" t="s">
        <v>207</v>
      </c>
      <c r="B21" s="167" t="s">
        <v>51</v>
      </c>
      <c r="C21" s="167">
        <v>176000</v>
      </c>
      <c r="D21" s="167">
        <v>91000</v>
      </c>
      <c r="E21" s="167">
        <v>22000</v>
      </c>
      <c r="F21" s="167">
        <v>52000</v>
      </c>
      <c r="G21" s="171">
        <f t="shared" si="0"/>
        <v>1.0666666666666667</v>
      </c>
      <c r="H21" s="167">
        <v>23604</v>
      </c>
      <c r="I21" s="168">
        <f t="shared" si="1"/>
        <v>77.390163934426226</v>
      </c>
      <c r="J21" s="33">
        <v>655</v>
      </c>
      <c r="K21" s="172">
        <f t="shared" si="2"/>
        <v>122.46984</v>
      </c>
      <c r="L21" s="172">
        <v>250</v>
      </c>
      <c r="M21" s="172">
        <v>500</v>
      </c>
    </row>
    <row r="22" spans="1:13" ht="15.75" customHeight="1">
      <c r="A22" s="7" t="s">
        <v>208</v>
      </c>
      <c r="B22" s="167" t="s">
        <v>48</v>
      </c>
      <c r="C22" s="167">
        <v>215000</v>
      </c>
      <c r="D22" s="167">
        <v>111000</v>
      </c>
      <c r="E22" s="167">
        <v>33000</v>
      </c>
      <c r="F22" s="167">
        <v>80000</v>
      </c>
      <c r="G22" s="171">
        <f t="shared" si="0"/>
        <v>0.9598214285714286</v>
      </c>
      <c r="H22" s="167">
        <v>24504</v>
      </c>
      <c r="I22" s="168">
        <f t="shared" si="1"/>
        <v>80.340983606557373</v>
      </c>
      <c r="J22" s="33">
        <v>655</v>
      </c>
      <c r="K22" s="172">
        <f t="shared" si="2"/>
        <v>122.46984</v>
      </c>
      <c r="L22" s="172">
        <v>250</v>
      </c>
      <c r="M22" s="172">
        <v>500</v>
      </c>
    </row>
    <row r="23" spans="1:13" ht="15.75" customHeight="1">
      <c r="A23" s="7" t="s">
        <v>209</v>
      </c>
      <c r="B23" s="167" t="s">
        <v>52</v>
      </c>
      <c r="C23" s="167">
        <v>167000</v>
      </c>
      <c r="D23" s="167">
        <v>86000</v>
      </c>
      <c r="E23" s="167">
        <v>41000</v>
      </c>
      <c r="F23" s="167">
        <v>98000</v>
      </c>
      <c r="G23" s="171">
        <f t="shared" si="0"/>
        <v>0.74222222222222223</v>
      </c>
      <c r="H23" s="167">
        <v>23826</v>
      </c>
      <c r="I23" s="168">
        <f t="shared" si="1"/>
        <v>78.118032786885252</v>
      </c>
      <c r="J23" s="33">
        <v>655</v>
      </c>
      <c r="K23" s="172">
        <f t="shared" si="2"/>
        <v>122.46984</v>
      </c>
      <c r="L23" s="172">
        <v>250</v>
      </c>
      <c r="M23" s="172">
        <v>500</v>
      </c>
    </row>
    <row r="24" spans="1:13" ht="15.75" customHeight="1">
      <c r="A24" s="7" t="s">
        <v>210</v>
      </c>
      <c r="B24" s="167" t="s">
        <v>53</v>
      </c>
      <c r="C24" s="167">
        <v>49000</v>
      </c>
      <c r="D24" s="167">
        <v>25000</v>
      </c>
      <c r="E24" s="167">
        <v>12000</v>
      </c>
      <c r="F24" s="167">
        <v>28000</v>
      </c>
      <c r="G24" s="171">
        <f t="shared" si="0"/>
        <v>0.75384615384615383</v>
      </c>
      <c r="H24" s="167">
        <v>19717</v>
      </c>
      <c r="I24" s="168">
        <f t="shared" si="1"/>
        <v>64.64590163934426</v>
      </c>
      <c r="J24" s="33">
        <v>655</v>
      </c>
      <c r="K24" s="172">
        <f t="shared" si="2"/>
        <v>122.46984</v>
      </c>
      <c r="L24" s="172">
        <v>250</v>
      </c>
      <c r="M24" s="172">
        <v>500</v>
      </c>
    </row>
    <row r="25" spans="1:13" ht="15.75" customHeight="1">
      <c r="A25" s="7" t="s">
        <v>211</v>
      </c>
      <c r="B25" s="167" t="s">
        <v>54</v>
      </c>
      <c r="C25" s="167">
        <v>10000</v>
      </c>
      <c r="D25" s="167">
        <v>5000</v>
      </c>
      <c r="E25" s="167">
        <v>1000</v>
      </c>
      <c r="F25" s="167">
        <v>2000</v>
      </c>
      <c r="G25" s="171">
        <f t="shared" si="0"/>
        <v>1.25</v>
      </c>
      <c r="H25" s="167">
        <v>14000</v>
      </c>
      <c r="I25" s="168">
        <f t="shared" si="1"/>
        <v>45.901639344262293</v>
      </c>
      <c r="J25" s="33">
        <v>655</v>
      </c>
      <c r="K25" s="172">
        <f t="shared" si="2"/>
        <v>122.46984</v>
      </c>
      <c r="L25" s="172">
        <v>250</v>
      </c>
      <c r="M25" s="172">
        <v>500</v>
      </c>
    </row>
    <row r="26" spans="1:13" ht="15.75" customHeight="1">
      <c r="A26" s="7" t="s">
        <v>212</v>
      </c>
      <c r="B26" s="167" t="s">
        <v>57</v>
      </c>
      <c r="C26" s="167">
        <v>28000</v>
      </c>
      <c r="D26" s="167">
        <v>14000</v>
      </c>
      <c r="E26" s="167">
        <v>4000</v>
      </c>
      <c r="F26" s="167">
        <v>10000</v>
      </c>
      <c r="G26" s="171">
        <f t="shared" si="0"/>
        <v>1</v>
      </c>
      <c r="H26" s="167">
        <v>21185</v>
      </c>
      <c r="I26" s="168">
        <f t="shared" si="1"/>
        <v>69.459016393442624</v>
      </c>
      <c r="J26" s="33">
        <v>655</v>
      </c>
      <c r="K26" s="172">
        <f t="shared" si="2"/>
        <v>122.46984</v>
      </c>
      <c r="L26" s="172">
        <v>250</v>
      </c>
      <c r="M26" s="172">
        <v>500</v>
      </c>
    </row>
    <row r="27" spans="1:13" ht="15.75" customHeight="1">
      <c r="A27" s="7" t="s">
        <v>213</v>
      </c>
      <c r="B27" s="167" t="s">
        <v>56</v>
      </c>
      <c r="C27" s="167">
        <v>42000</v>
      </c>
      <c r="D27" s="167">
        <v>22000</v>
      </c>
      <c r="E27" s="167">
        <v>8000</v>
      </c>
      <c r="F27" s="167">
        <v>18000</v>
      </c>
      <c r="G27" s="171">
        <f t="shared" si="0"/>
        <v>0.875</v>
      </c>
      <c r="H27" s="167">
        <v>20833</v>
      </c>
      <c r="I27" s="168">
        <f t="shared" si="1"/>
        <v>68.304918032786887</v>
      </c>
      <c r="J27" s="33">
        <v>655</v>
      </c>
      <c r="K27" s="172">
        <f t="shared" si="2"/>
        <v>122.46984</v>
      </c>
      <c r="L27" s="172">
        <v>250</v>
      </c>
      <c r="M27" s="172">
        <v>500</v>
      </c>
    </row>
    <row r="28" spans="1:13" ht="15.75" customHeight="1">
      <c r="A28" s="7" t="s">
        <v>214</v>
      </c>
      <c r="B28" s="167" t="s">
        <v>55</v>
      </c>
      <c r="C28" s="167">
        <v>10000</v>
      </c>
      <c r="D28" s="167">
        <v>5000</v>
      </c>
      <c r="E28" s="167">
        <v>2000</v>
      </c>
      <c r="F28" s="167">
        <v>5000</v>
      </c>
      <c r="G28" s="171">
        <f t="shared" si="0"/>
        <v>0.83333333333333337</v>
      </c>
      <c r="H28" s="167">
        <v>19700</v>
      </c>
      <c r="I28" s="168">
        <f t="shared" si="1"/>
        <v>64.590163934426229</v>
      </c>
      <c r="J28" s="33">
        <v>655</v>
      </c>
      <c r="K28" s="172">
        <f t="shared" si="2"/>
        <v>122.46984</v>
      </c>
      <c r="L28" s="172">
        <v>250</v>
      </c>
      <c r="M28" s="172">
        <v>500</v>
      </c>
    </row>
    <row r="29" spans="1:13" ht="15.75" customHeight="1">
      <c r="A29" s="7" t="s">
        <v>217</v>
      </c>
      <c r="B29" s="167" t="s">
        <v>60</v>
      </c>
      <c r="C29" s="167">
        <v>8000</v>
      </c>
      <c r="D29" s="167">
        <v>4000</v>
      </c>
      <c r="E29" s="167">
        <v>1000</v>
      </c>
      <c r="F29" s="167">
        <v>3000</v>
      </c>
      <c r="G29" s="171">
        <f t="shared" si="0"/>
        <v>1</v>
      </c>
      <c r="H29" s="167">
        <v>15143</v>
      </c>
      <c r="I29" s="168">
        <f t="shared" si="1"/>
        <v>49.649180327868855</v>
      </c>
      <c r="J29" s="33">
        <v>655</v>
      </c>
      <c r="K29" s="172">
        <f t="shared" si="2"/>
        <v>122.46984</v>
      </c>
      <c r="L29" s="172">
        <v>250</v>
      </c>
      <c r="M29" s="172">
        <v>500</v>
      </c>
    </row>
    <row r="30" spans="1:13" ht="15.75" customHeight="1">
      <c r="A30" s="7" t="s">
        <v>218</v>
      </c>
      <c r="B30" s="167" t="s">
        <v>59</v>
      </c>
      <c r="C30" s="167">
        <v>77000</v>
      </c>
      <c r="D30" s="167">
        <v>40000</v>
      </c>
      <c r="E30" s="167">
        <v>10000</v>
      </c>
      <c r="F30" s="167">
        <v>24000</v>
      </c>
      <c r="G30" s="171">
        <f t="shared" si="0"/>
        <v>1.0405405405405406</v>
      </c>
      <c r="H30" s="167">
        <v>14225</v>
      </c>
      <c r="I30" s="168">
        <f t="shared" si="1"/>
        <v>46.639344262295083</v>
      </c>
      <c r="J30" s="33">
        <v>655</v>
      </c>
      <c r="K30" s="172">
        <f t="shared" si="2"/>
        <v>122.46984</v>
      </c>
      <c r="L30" s="172">
        <v>250</v>
      </c>
      <c r="M30" s="172">
        <v>500</v>
      </c>
    </row>
    <row r="31" spans="1:13" ht="15.75" customHeight="1">
      <c r="A31" s="7" t="s">
        <v>219</v>
      </c>
      <c r="B31" s="167" t="s">
        <v>61</v>
      </c>
      <c r="C31" s="167">
        <v>12000</v>
      </c>
      <c r="D31" s="167">
        <v>6000</v>
      </c>
      <c r="E31" s="167">
        <v>1000</v>
      </c>
      <c r="F31" s="167">
        <v>3000</v>
      </c>
      <c r="G31" s="171">
        <f t="shared" si="0"/>
        <v>1.2</v>
      </c>
      <c r="H31" s="167">
        <v>22091</v>
      </c>
      <c r="I31" s="168">
        <f t="shared" si="1"/>
        <v>72.429508196721315</v>
      </c>
      <c r="J31" s="33">
        <v>655</v>
      </c>
      <c r="K31" s="172">
        <f t="shared" si="2"/>
        <v>122.46984</v>
      </c>
      <c r="L31" s="172">
        <v>250</v>
      </c>
      <c r="M31" s="172">
        <v>500</v>
      </c>
    </row>
    <row r="32" spans="1:13" ht="15.75" customHeight="1">
      <c r="A32" s="7" t="s">
        <v>220</v>
      </c>
      <c r="B32" s="167" t="s">
        <v>64</v>
      </c>
      <c r="C32" s="167">
        <v>58000</v>
      </c>
      <c r="D32" s="167">
        <v>30000</v>
      </c>
      <c r="E32" s="167">
        <v>9000</v>
      </c>
      <c r="F32" s="167">
        <v>21000</v>
      </c>
      <c r="G32" s="171">
        <f t="shared" si="0"/>
        <v>0.96666666666666667</v>
      </c>
      <c r="H32" s="167">
        <v>24534</v>
      </c>
      <c r="I32" s="168">
        <f t="shared" si="1"/>
        <v>80.43934426229508</v>
      </c>
      <c r="J32" s="33">
        <v>655</v>
      </c>
      <c r="K32" s="172">
        <f t="shared" si="2"/>
        <v>122.46984</v>
      </c>
      <c r="L32" s="172">
        <v>250</v>
      </c>
      <c r="M32" s="172">
        <v>500</v>
      </c>
    </row>
    <row r="33" spans="1:13" ht="15.75" customHeight="1">
      <c r="A33" s="7" t="s">
        <v>222</v>
      </c>
      <c r="B33" s="167" t="s">
        <v>65</v>
      </c>
      <c r="C33" s="167">
        <v>11000</v>
      </c>
      <c r="D33" s="167">
        <v>6000</v>
      </c>
      <c r="E33" s="167">
        <v>2000</v>
      </c>
      <c r="F33" s="167">
        <v>5000</v>
      </c>
      <c r="G33" s="171">
        <f t="shared" si="0"/>
        <v>0.84615384615384615</v>
      </c>
      <c r="H33" s="167">
        <v>20545</v>
      </c>
      <c r="I33" s="168">
        <f t="shared" si="1"/>
        <v>67.360655737704917</v>
      </c>
      <c r="J33" s="33">
        <v>655</v>
      </c>
      <c r="K33" s="172">
        <f t="shared" si="2"/>
        <v>122.46984</v>
      </c>
      <c r="L33" s="172">
        <v>250</v>
      </c>
      <c r="M33" s="172">
        <v>500</v>
      </c>
    </row>
    <row r="34" spans="1:13" ht="15.75" customHeight="1">
      <c r="A34" s="7" t="s">
        <v>223</v>
      </c>
      <c r="B34" s="167" t="s">
        <v>66</v>
      </c>
      <c r="C34" s="167">
        <v>5000</v>
      </c>
      <c r="D34" s="167">
        <v>2000</v>
      </c>
      <c r="E34" s="167">
        <v>1000</v>
      </c>
      <c r="F34" s="167">
        <v>2000</v>
      </c>
      <c r="G34" s="171">
        <f t="shared" si="0"/>
        <v>1</v>
      </c>
      <c r="H34" s="167">
        <v>22500</v>
      </c>
      <c r="I34" s="168">
        <f t="shared" si="1"/>
        <v>73.770491803278688</v>
      </c>
      <c r="J34" s="33">
        <v>655</v>
      </c>
      <c r="K34" s="172">
        <f t="shared" si="2"/>
        <v>122.46984</v>
      </c>
      <c r="L34" s="172">
        <v>250</v>
      </c>
      <c r="M34" s="172">
        <v>500</v>
      </c>
    </row>
    <row r="35" spans="1:13" ht="15.75" customHeight="1">
      <c r="A35" s="7" t="s">
        <v>261</v>
      </c>
      <c r="B35" s="167" t="s">
        <v>67</v>
      </c>
      <c r="C35" s="167">
        <v>330000</v>
      </c>
      <c r="D35" s="167">
        <v>170000</v>
      </c>
      <c r="E35" s="167">
        <v>41000</v>
      </c>
      <c r="F35" s="167">
        <v>98000</v>
      </c>
      <c r="G35" s="171">
        <f t="shared" si="0"/>
        <v>1.0679611650485437</v>
      </c>
      <c r="H35" s="167">
        <v>24541</v>
      </c>
      <c r="I35" s="168">
        <f t="shared" si="1"/>
        <v>80.462295081967213</v>
      </c>
      <c r="J35" s="33">
        <v>655</v>
      </c>
      <c r="K35" s="172">
        <f t="shared" si="2"/>
        <v>122.46984</v>
      </c>
      <c r="L35" s="172">
        <v>250</v>
      </c>
      <c r="M35" s="172">
        <v>500</v>
      </c>
    </row>
    <row r="36" spans="1:13" ht="15.75" customHeight="1">
      <c r="A36" s="7" t="s">
        <v>226</v>
      </c>
      <c r="B36" s="167" t="s">
        <v>62</v>
      </c>
      <c r="C36" s="167">
        <v>41000</v>
      </c>
      <c r="D36" s="167">
        <v>21000</v>
      </c>
      <c r="E36" s="167">
        <v>5000</v>
      </c>
      <c r="F36" s="167">
        <v>13000</v>
      </c>
      <c r="G36" s="171">
        <f t="shared" si="0"/>
        <v>1.0512820512820513</v>
      </c>
      <c r="H36" s="167">
        <v>22925</v>
      </c>
      <c r="I36" s="168">
        <f t="shared" si="1"/>
        <v>75.163934426229503</v>
      </c>
      <c r="J36" s="33">
        <v>655</v>
      </c>
      <c r="K36" s="172">
        <f t="shared" si="2"/>
        <v>122.46984</v>
      </c>
      <c r="L36" s="172">
        <v>250</v>
      </c>
      <c r="M36" s="172">
        <v>500</v>
      </c>
    </row>
    <row r="37" spans="1:13" ht="15.75" customHeight="1">
      <c r="A37" s="7" t="s">
        <v>227</v>
      </c>
      <c r="B37" s="167" t="s">
        <v>63</v>
      </c>
      <c r="C37" s="167">
        <v>15000</v>
      </c>
      <c r="D37" s="167">
        <v>8000</v>
      </c>
      <c r="E37" s="167">
        <v>2000</v>
      </c>
      <c r="F37" s="167">
        <v>6000</v>
      </c>
      <c r="G37" s="171">
        <f t="shared" si="0"/>
        <v>0.9375</v>
      </c>
      <c r="H37" s="167">
        <v>22333</v>
      </c>
      <c r="I37" s="168">
        <f t="shared" si="1"/>
        <v>73.222950819672135</v>
      </c>
      <c r="J37" s="33">
        <v>655</v>
      </c>
      <c r="K37" s="172">
        <f t="shared" si="2"/>
        <v>122.46984</v>
      </c>
      <c r="L37" s="172">
        <v>250</v>
      </c>
      <c r="M37" s="172">
        <v>500</v>
      </c>
    </row>
    <row r="38" spans="1:13" ht="15.75" customHeight="1">
      <c r="A38" s="7" t="s">
        <v>228</v>
      </c>
      <c r="B38" s="167" t="s">
        <v>69</v>
      </c>
      <c r="C38" s="167">
        <v>252000</v>
      </c>
      <c r="D38" s="167">
        <v>130000</v>
      </c>
      <c r="E38" s="167">
        <v>35000</v>
      </c>
      <c r="F38" s="167">
        <v>84000</v>
      </c>
      <c r="G38" s="171">
        <f t="shared" si="0"/>
        <v>1.0120481927710843</v>
      </c>
      <c r="H38" s="167">
        <v>21957</v>
      </c>
      <c r="I38" s="168">
        <f t="shared" si="1"/>
        <v>71.990163934426235</v>
      </c>
      <c r="J38" s="33">
        <v>655</v>
      </c>
      <c r="K38" s="172">
        <f t="shared" si="2"/>
        <v>122.46984</v>
      </c>
      <c r="L38" s="172">
        <v>250</v>
      </c>
      <c r="M38" s="172">
        <v>500</v>
      </c>
    </row>
    <row r="39" spans="1:13" ht="15.75" customHeight="1">
      <c r="A39" s="7" t="s">
        <v>229</v>
      </c>
      <c r="B39" s="167" t="s">
        <v>70</v>
      </c>
      <c r="C39" s="167">
        <v>41000</v>
      </c>
      <c r="D39" s="167">
        <v>21000</v>
      </c>
      <c r="E39" s="167">
        <v>6000</v>
      </c>
      <c r="F39" s="167">
        <v>14000</v>
      </c>
      <c r="G39" s="171">
        <f t="shared" si="0"/>
        <v>1</v>
      </c>
      <c r="H39" s="167">
        <v>17744</v>
      </c>
      <c r="I39" s="168">
        <f t="shared" si="1"/>
        <v>58.17704918032787</v>
      </c>
      <c r="J39" s="33">
        <v>655</v>
      </c>
      <c r="K39" s="172">
        <f t="shared" si="2"/>
        <v>122.46984</v>
      </c>
      <c r="L39" s="172">
        <v>250</v>
      </c>
      <c r="M39" s="172">
        <v>500</v>
      </c>
    </row>
    <row r="40" spans="1:13" ht="15.75" customHeight="1">
      <c r="A40" s="7" t="s">
        <v>230</v>
      </c>
      <c r="B40" s="167" t="s">
        <v>71</v>
      </c>
      <c r="C40" s="167">
        <v>127000</v>
      </c>
      <c r="D40" s="167">
        <v>66000</v>
      </c>
      <c r="E40" s="167">
        <v>20000</v>
      </c>
      <c r="F40" s="167">
        <v>49000</v>
      </c>
      <c r="G40" s="171">
        <f t="shared" si="0"/>
        <v>0.94074074074074077</v>
      </c>
      <c r="H40" s="167">
        <v>20976</v>
      </c>
      <c r="I40" s="168">
        <f t="shared" si="1"/>
        <v>68.773770491803276</v>
      </c>
      <c r="J40" s="33">
        <v>655</v>
      </c>
      <c r="K40" s="172">
        <f t="shared" si="2"/>
        <v>122.46984</v>
      </c>
      <c r="L40" s="172">
        <v>250</v>
      </c>
      <c r="M40" s="172">
        <v>500</v>
      </c>
    </row>
    <row r="41" spans="1:13" ht="15.75" customHeight="1">
      <c r="A41" s="7" t="s">
        <v>231</v>
      </c>
      <c r="B41" s="167" t="s">
        <v>72</v>
      </c>
      <c r="C41" s="167">
        <v>480000</v>
      </c>
      <c r="D41" s="167">
        <v>248000</v>
      </c>
      <c r="E41" s="167">
        <v>80000</v>
      </c>
      <c r="F41" s="167">
        <v>192000</v>
      </c>
      <c r="G41" s="171">
        <f t="shared" si="0"/>
        <v>0.92307692307692313</v>
      </c>
      <c r="H41" s="167">
        <v>21338</v>
      </c>
      <c r="I41" s="168">
        <f t="shared" si="1"/>
        <v>69.960655737704911</v>
      </c>
      <c r="J41" s="33">
        <v>655</v>
      </c>
      <c r="K41" s="172">
        <f t="shared" si="2"/>
        <v>122.46984</v>
      </c>
      <c r="L41" s="172">
        <v>250</v>
      </c>
      <c r="M41" s="172">
        <v>500</v>
      </c>
    </row>
    <row r="42" spans="1:13" ht="15.75" customHeight="1">
      <c r="A42" s="7" t="s">
        <v>232</v>
      </c>
      <c r="B42" s="167" t="s">
        <v>73</v>
      </c>
      <c r="C42" s="7">
        <v>500</v>
      </c>
      <c r="D42" s="167">
        <v>0</v>
      </c>
      <c r="E42" s="167">
        <v>0</v>
      </c>
      <c r="F42" s="167">
        <v>0</v>
      </c>
      <c r="G42" s="171" t="e">
        <f t="shared" si="0"/>
        <v>#DIV/0!</v>
      </c>
      <c r="H42" s="167">
        <v>20200</v>
      </c>
      <c r="I42" s="168">
        <f t="shared" si="1"/>
        <v>66.229508196721312</v>
      </c>
      <c r="J42" s="33">
        <v>655</v>
      </c>
      <c r="K42" s="172">
        <f t="shared" si="2"/>
        <v>122.46984</v>
      </c>
      <c r="L42" s="172">
        <v>250</v>
      </c>
      <c r="M42" s="172">
        <v>500</v>
      </c>
    </row>
    <row r="43" spans="1:13" ht="15.75" customHeight="1">
      <c r="A43" s="7" t="s">
        <v>233</v>
      </c>
      <c r="B43" s="167" t="s">
        <v>74</v>
      </c>
      <c r="C43" s="167">
        <v>1000</v>
      </c>
      <c r="D43" s="167">
        <v>6000</v>
      </c>
      <c r="E43" s="167">
        <v>1000</v>
      </c>
      <c r="F43" s="167">
        <v>3000</v>
      </c>
      <c r="G43" s="171">
        <f t="shared" si="0"/>
        <v>0.1</v>
      </c>
      <c r="H43" s="167">
        <v>17667</v>
      </c>
      <c r="I43" s="168">
        <f t="shared" si="1"/>
        <v>57.924590163934425</v>
      </c>
      <c r="J43" s="33">
        <v>655</v>
      </c>
      <c r="K43" s="172">
        <f t="shared" si="2"/>
        <v>122.46984</v>
      </c>
      <c r="L43" s="172">
        <v>250</v>
      </c>
      <c r="M43" s="172">
        <v>500</v>
      </c>
    </row>
    <row r="44" spans="1:13" ht="15.75" customHeight="1">
      <c r="A44" s="7" t="s">
        <v>234</v>
      </c>
      <c r="B44" s="167" t="s">
        <v>75</v>
      </c>
      <c r="C44" s="167">
        <v>13000</v>
      </c>
      <c r="D44" s="167">
        <v>66000</v>
      </c>
      <c r="E44" s="167">
        <v>13000</v>
      </c>
      <c r="F44" s="167">
        <v>31000</v>
      </c>
      <c r="G44" s="171">
        <f t="shared" si="0"/>
        <v>0.11818181818181818</v>
      </c>
      <c r="H44" s="167">
        <v>23096</v>
      </c>
      <c r="I44" s="168">
        <f t="shared" si="1"/>
        <v>75.724590163934423</v>
      </c>
      <c r="J44" s="33">
        <v>655</v>
      </c>
      <c r="K44" s="172">
        <f t="shared" si="2"/>
        <v>122.46984</v>
      </c>
      <c r="L44" s="172">
        <v>250</v>
      </c>
      <c r="M44" s="172">
        <v>500</v>
      </c>
    </row>
    <row r="45" spans="1:13" ht="15.75" customHeight="1">
      <c r="A45" s="7" t="s">
        <v>235</v>
      </c>
      <c r="B45" s="167" t="s">
        <v>76</v>
      </c>
      <c r="C45" s="167">
        <v>31000</v>
      </c>
      <c r="D45" s="167">
        <v>16000</v>
      </c>
      <c r="E45" s="167">
        <v>7000</v>
      </c>
      <c r="F45" s="167">
        <v>17000</v>
      </c>
      <c r="G45" s="171">
        <f t="shared" si="0"/>
        <v>0.77500000000000002</v>
      </c>
      <c r="H45" s="167">
        <v>18142</v>
      </c>
      <c r="I45" s="168">
        <f t="shared" si="1"/>
        <v>59.481967213114757</v>
      </c>
      <c r="J45" s="33">
        <v>655</v>
      </c>
      <c r="K45" s="172">
        <f t="shared" si="2"/>
        <v>122.46984</v>
      </c>
      <c r="L45" s="172">
        <v>250</v>
      </c>
      <c r="M45" s="172">
        <v>500</v>
      </c>
    </row>
    <row r="46" spans="1:13" ht="15.75" customHeight="1">
      <c r="A46" s="7" t="s">
        <v>237</v>
      </c>
      <c r="B46" s="167" t="s">
        <v>78</v>
      </c>
      <c r="C46" s="167">
        <v>15000</v>
      </c>
      <c r="D46" s="167">
        <v>50000</v>
      </c>
      <c r="E46" s="167">
        <v>15000</v>
      </c>
      <c r="F46" s="167">
        <v>35000</v>
      </c>
      <c r="G46" s="171">
        <f t="shared" si="0"/>
        <v>0.15</v>
      </c>
      <c r="H46" s="167">
        <v>23156</v>
      </c>
      <c r="I46" s="168">
        <f t="shared" si="1"/>
        <v>75.921311475409837</v>
      </c>
      <c r="J46" s="33">
        <v>655</v>
      </c>
      <c r="K46" s="172">
        <f t="shared" si="2"/>
        <v>122.46984</v>
      </c>
      <c r="L46" s="172">
        <v>250</v>
      </c>
      <c r="M46" s="172">
        <v>500</v>
      </c>
    </row>
    <row r="47" spans="1:13" ht="15.75" customHeight="1">
      <c r="A47" s="7" t="s">
        <v>238</v>
      </c>
      <c r="B47" s="167" t="s">
        <v>80</v>
      </c>
      <c r="C47" s="167">
        <v>124000</v>
      </c>
      <c r="D47" s="167">
        <v>64000</v>
      </c>
      <c r="E47" s="167">
        <v>16000</v>
      </c>
      <c r="F47" s="167">
        <v>38000</v>
      </c>
      <c r="G47" s="171">
        <f t="shared" si="0"/>
        <v>1.0508474576271187</v>
      </c>
      <c r="H47" s="167">
        <v>21383</v>
      </c>
      <c r="I47" s="168">
        <f t="shared" si="1"/>
        <v>70.108196721311472</v>
      </c>
      <c r="J47" s="33">
        <v>655</v>
      </c>
      <c r="K47" s="172">
        <f t="shared" si="2"/>
        <v>122.46984</v>
      </c>
      <c r="L47" s="172">
        <v>250</v>
      </c>
      <c r="M47" s="172">
        <v>500</v>
      </c>
    </row>
    <row r="48" spans="1:13" ht="15.75" customHeight="1">
      <c r="A48" s="7" t="s">
        <v>239</v>
      </c>
      <c r="B48" s="167" t="s">
        <v>79</v>
      </c>
      <c r="C48" s="167">
        <v>74000</v>
      </c>
      <c r="D48" s="167">
        <v>38000</v>
      </c>
      <c r="E48" s="167">
        <v>10000</v>
      </c>
      <c r="F48" s="167">
        <v>23000</v>
      </c>
      <c r="G48" s="171">
        <f t="shared" si="0"/>
        <v>1.0422535211267605</v>
      </c>
      <c r="H48" s="167">
        <v>20151</v>
      </c>
      <c r="I48" s="168">
        <f t="shared" si="1"/>
        <v>66.068852459016398</v>
      </c>
      <c r="J48" s="33">
        <v>655</v>
      </c>
      <c r="K48" s="172">
        <f t="shared" si="2"/>
        <v>122.46984</v>
      </c>
      <c r="L48" s="172">
        <v>250</v>
      </c>
      <c r="M48" s="172">
        <v>500</v>
      </c>
    </row>
    <row r="49" spans="1:13" ht="15.75" customHeight="1">
      <c r="A49" s="7" t="s">
        <v>240</v>
      </c>
      <c r="B49" s="167" t="s">
        <v>81</v>
      </c>
      <c r="C49" s="167">
        <v>282000</v>
      </c>
      <c r="D49" s="167">
        <v>146000</v>
      </c>
      <c r="E49" s="167">
        <v>37000</v>
      </c>
      <c r="F49" s="167">
        <v>89000</v>
      </c>
      <c r="G49" s="171">
        <f t="shared" si="0"/>
        <v>1.036764705882353</v>
      </c>
      <c r="H49" s="167">
        <v>24000</v>
      </c>
      <c r="I49" s="168">
        <f t="shared" si="1"/>
        <v>78.688524590163937</v>
      </c>
      <c r="J49" s="33">
        <v>655</v>
      </c>
      <c r="K49" s="172">
        <f t="shared" si="2"/>
        <v>122.46984</v>
      </c>
      <c r="L49" s="172">
        <v>250</v>
      </c>
      <c r="M49" s="172">
        <v>500</v>
      </c>
    </row>
    <row r="50" spans="1:13" ht="15.75" customHeight="1">
      <c r="A50" s="7" t="s">
        <v>241</v>
      </c>
      <c r="B50" s="167" t="s">
        <v>83</v>
      </c>
      <c r="C50" s="167">
        <v>6000</v>
      </c>
      <c r="D50" s="167">
        <v>3000</v>
      </c>
      <c r="E50" s="167">
        <v>1000</v>
      </c>
      <c r="F50" s="167">
        <v>2000</v>
      </c>
      <c r="G50" s="171">
        <f t="shared" si="0"/>
        <v>1</v>
      </c>
      <c r="H50" s="167">
        <v>15000</v>
      </c>
      <c r="I50" s="168">
        <f t="shared" si="1"/>
        <v>49.180327868852459</v>
      </c>
      <c r="J50" s="33">
        <v>655</v>
      </c>
      <c r="K50" s="172">
        <f t="shared" si="2"/>
        <v>122.46984</v>
      </c>
      <c r="L50" s="172">
        <v>250</v>
      </c>
      <c r="M50" s="172">
        <v>500</v>
      </c>
    </row>
    <row r="51" spans="1:13" ht="15.75" customHeight="1">
      <c r="A51" s="7" t="s">
        <v>243</v>
      </c>
      <c r="B51" s="167" t="s">
        <v>84</v>
      </c>
      <c r="C51" s="167">
        <v>6000</v>
      </c>
      <c r="D51" s="167">
        <v>3000</v>
      </c>
      <c r="E51" s="167">
        <v>1000</v>
      </c>
      <c r="F51" s="167">
        <v>3000</v>
      </c>
      <c r="G51" s="171">
        <f t="shared" si="0"/>
        <v>0.8571428571428571</v>
      </c>
      <c r="H51" s="167">
        <v>25918</v>
      </c>
      <c r="I51" s="168">
        <f t="shared" si="1"/>
        <v>84.977049180327867</v>
      </c>
      <c r="J51" s="33">
        <v>655</v>
      </c>
      <c r="K51" s="172">
        <f t="shared" si="2"/>
        <v>122.46984</v>
      </c>
      <c r="L51" s="172">
        <v>250</v>
      </c>
      <c r="M51" s="172">
        <v>500</v>
      </c>
    </row>
    <row r="52" spans="1:13" ht="15.75" customHeight="1"/>
    <row r="53" spans="1:13" ht="15.75" customHeight="1"/>
    <row r="54" spans="1:13" ht="15.75" customHeight="1"/>
    <row r="55" spans="1:13" ht="15.75" customHeight="1"/>
    <row r="56" spans="1:13" ht="15.75" customHeight="1"/>
    <row r="57" spans="1:13" ht="15.75" customHeight="1"/>
    <row r="58" spans="1:13" ht="15.75" customHeight="1"/>
    <row r="59" spans="1:13" ht="15.75" customHeight="1"/>
    <row r="60" spans="1:13" ht="15.75" customHeight="1"/>
    <row r="61" spans="1:13" ht="15.75" customHeight="1"/>
    <row r="62" spans="1:13" ht="15.75" customHeight="1"/>
    <row r="63" spans="1:13" ht="15.75" customHeight="1"/>
    <row r="64" spans="1: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I1"/>
  </mergeCells>
  <hyperlinks>
    <hyperlink ref="A4" r:id="rId1" xr:uid="{00000000-0004-0000-0800-000000000000}"/>
    <hyperlink ref="A5" r:id="rId2" xr:uid="{00000000-0004-0000-0800-000001000000}"/>
    <hyperlink ref="A6" r:id="rId3" xr:uid="{00000000-0004-0000-0800-000002000000}"/>
    <hyperlink ref="A7" r:id="rId4" xr:uid="{00000000-0004-0000-0800-000003000000}"/>
    <hyperlink ref="A8" r:id="rId5" xr:uid="{00000000-0004-0000-0800-00000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readme</vt:lpstr>
      <vt:lpstr>Inventory</vt:lpstr>
      <vt:lpstr>carbon intensity</vt:lpstr>
      <vt:lpstr>Beef Enteric inventory</vt:lpstr>
      <vt:lpstr>Beef Manure Inventory</vt:lpstr>
      <vt:lpstr>Dairy Enteric Inventory</vt:lpstr>
      <vt:lpstr>Dairy Manure Inventory</vt:lpstr>
      <vt:lpstr>Beef Animal Numbers</vt:lpstr>
      <vt:lpstr>Dairy Animal Numbers, Mass, Mil</vt:lpstr>
      <vt:lpstr>Beef diets</vt:lpstr>
      <vt:lpstr>Beef State Manure Mgmt</vt:lpstr>
      <vt:lpstr>Dairy State Manure Mgmt</vt:lpstr>
      <vt:lpstr>iFeeder TMR rations</vt:lpstr>
      <vt:lpstr>avg ann temp, manure EFs</vt:lpstr>
      <vt:lpstr>volatile solids and nex</vt:lpstr>
      <vt:lpstr>LitReferencesInventory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David Gustafson</cp:lastModifiedBy>
  <dcterms:created xsi:type="dcterms:W3CDTF">2024-09-30T11:53:53Z</dcterms:created>
  <dcterms:modified xsi:type="dcterms:W3CDTF">2024-09-30T11:53:53Z</dcterms:modified>
</cp:coreProperties>
</file>